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 AUTOCAD\01 Partyzánská 302\01 Export KOTELNA\"/>
    </mc:Choice>
  </mc:AlternateContent>
  <bookViews>
    <workbookView xWindow="0" yWindow="0" windowWidth="23040" windowHeight="10812"/>
  </bookViews>
  <sheets>
    <sheet name="Krycí list rozpočtu" sheetId="3" r:id="rId1"/>
    <sheet name="Stavební rozpočet" sheetId="1" r:id="rId2"/>
    <sheet name="Výkaz výměr" sheetId="2" r:id="rId3"/>
    <sheet name="VORN" sheetId="4" r:id="rId4"/>
  </sheets>
  <definedNames>
    <definedName name="vorn_sum">VORN!$I$36</definedName>
  </definedNames>
  <calcPr calcId="152511"/>
</workbook>
</file>

<file path=xl/calcChain.xml><?xml version="1.0" encoding="utf-8"?>
<calcChain xmlns="http://schemas.openxmlformats.org/spreadsheetml/2006/main">
  <c r="I35" i="4" l="1"/>
  <c r="I36" i="4" s="1"/>
  <c r="I24" i="3" s="1"/>
  <c r="I26" i="4"/>
  <c r="I25" i="4"/>
  <c r="I24" i="4"/>
  <c r="I23" i="4"/>
  <c r="I16" i="3" s="1"/>
  <c r="I22" i="4"/>
  <c r="I21" i="4"/>
  <c r="I17" i="4"/>
  <c r="F16" i="3" s="1"/>
  <c r="I16" i="4"/>
  <c r="I15" i="4"/>
  <c r="I18" i="4" s="1"/>
  <c r="I10" i="4"/>
  <c r="F10" i="4"/>
  <c r="C10" i="4"/>
  <c r="F8" i="4"/>
  <c r="F6" i="4"/>
  <c r="C6" i="4"/>
  <c r="F4" i="4"/>
  <c r="C4" i="4"/>
  <c r="F2" i="4"/>
  <c r="C2" i="4"/>
  <c r="I19" i="3"/>
  <c r="I18" i="3"/>
  <c r="I17" i="3"/>
  <c r="I15" i="3"/>
  <c r="F15" i="3"/>
  <c r="I14" i="3"/>
  <c r="F14" i="3"/>
  <c r="I10" i="3"/>
  <c r="F10" i="3"/>
  <c r="C10" i="3"/>
  <c r="F6" i="3"/>
  <c r="C6" i="3"/>
  <c r="F4" i="3"/>
  <c r="C4" i="3"/>
  <c r="F2" i="3"/>
  <c r="C2" i="3"/>
  <c r="F8" i="2"/>
  <c r="C8" i="2"/>
  <c r="F6" i="2"/>
  <c r="C6" i="2"/>
  <c r="F4" i="2"/>
  <c r="C4" i="2"/>
  <c r="F2" i="2"/>
  <c r="C2" i="2"/>
  <c r="BJ79" i="1"/>
  <c r="BD79" i="1"/>
  <c r="AX79" i="1"/>
  <c r="AP79" i="1"/>
  <c r="BI79" i="1" s="1"/>
  <c r="AO79" i="1"/>
  <c r="BH79" i="1" s="1"/>
  <c r="AL79" i="1"/>
  <c r="AJ79" i="1"/>
  <c r="AH79" i="1"/>
  <c r="AG79" i="1"/>
  <c r="AF79" i="1"/>
  <c r="AE79" i="1"/>
  <c r="AD79" i="1"/>
  <c r="AC79" i="1"/>
  <c r="AB79" i="1"/>
  <c r="Z79" i="1"/>
  <c r="L79" i="1"/>
  <c r="J79" i="1"/>
  <c r="AK79" i="1" s="1"/>
  <c r="I79" i="1"/>
  <c r="BJ78" i="1"/>
  <c r="Z78" i="1" s="1"/>
  <c r="BD78" i="1"/>
  <c r="AP78" i="1"/>
  <c r="BI78" i="1" s="1"/>
  <c r="AO78" i="1"/>
  <c r="BH78" i="1" s="1"/>
  <c r="AL78" i="1"/>
  <c r="AK78" i="1"/>
  <c r="AT77" i="1" s="1"/>
  <c r="AJ78" i="1"/>
  <c r="AH78" i="1"/>
  <c r="AG78" i="1"/>
  <c r="AF78" i="1"/>
  <c r="AE78" i="1"/>
  <c r="AD78" i="1"/>
  <c r="AC78" i="1"/>
  <c r="AB78" i="1"/>
  <c r="L78" i="1"/>
  <c r="BF78" i="1" s="1"/>
  <c r="J78" i="1"/>
  <c r="I78" i="1"/>
  <c r="I77" i="1" s="1"/>
  <c r="H78" i="1"/>
  <c r="AU77" i="1"/>
  <c r="AS77" i="1"/>
  <c r="J77" i="1"/>
  <c r="BJ76" i="1"/>
  <c r="BF76" i="1"/>
  <c r="BD76" i="1"/>
  <c r="AW76" i="1"/>
  <c r="AP76" i="1"/>
  <c r="BI76" i="1" s="1"/>
  <c r="AO76" i="1"/>
  <c r="BH76" i="1" s="1"/>
  <c r="AL76" i="1"/>
  <c r="AU74" i="1" s="1"/>
  <c r="AJ76" i="1"/>
  <c r="AH76" i="1"/>
  <c r="AG76" i="1"/>
  <c r="AF76" i="1"/>
  <c r="AE76" i="1"/>
  <c r="AD76" i="1"/>
  <c r="AC76" i="1"/>
  <c r="AB76" i="1"/>
  <c r="Z76" i="1"/>
  <c r="L76" i="1"/>
  <c r="J76" i="1"/>
  <c r="I76" i="1"/>
  <c r="H76" i="1"/>
  <c r="BJ75" i="1"/>
  <c r="BD75" i="1"/>
  <c r="AP75" i="1"/>
  <c r="AO75" i="1"/>
  <c r="BH75" i="1" s="1"/>
  <c r="AL75" i="1"/>
  <c r="AJ75" i="1"/>
  <c r="AS74" i="1" s="1"/>
  <c r="AH75" i="1"/>
  <c r="AG75" i="1"/>
  <c r="AF75" i="1"/>
  <c r="AE75" i="1"/>
  <c r="AD75" i="1"/>
  <c r="AC75" i="1"/>
  <c r="AB75" i="1"/>
  <c r="Z75" i="1"/>
  <c r="L75" i="1"/>
  <c r="BF75" i="1" s="1"/>
  <c r="J75" i="1"/>
  <c r="AK75" i="1" s="1"/>
  <c r="H75" i="1"/>
  <c r="H74" i="1" s="1"/>
  <c r="L74" i="1"/>
  <c r="BJ73" i="1"/>
  <c r="Z73" i="1" s="1"/>
  <c r="BD73" i="1"/>
  <c r="AP73" i="1"/>
  <c r="BI73" i="1" s="1"/>
  <c r="AO73" i="1"/>
  <c r="BH73" i="1" s="1"/>
  <c r="AL73" i="1"/>
  <c r="AK73" i="1"/>
  <c r="AJ73" i="1"/>
  <c r="AH73" i="1"/>
  <c r="AG73" i="1"/>
  <c r="AF73" i="1"/>
  <c r="AE73" i="1"/>
  <c r="AD73" i="1"/>
  <c r="AC73" i="1"/>
  <c r="AB73" i="1"/>
  <c r="L73" i="1"/>
  <c r="BF73" i="1" s="1"/>
  <c r="J73" i="1"/>
  <c r="I73" i="1"/>
  <c r="I71" i="1" s="1"/>
  <c r="H73" i="1"/>
  <c r="BJ72" i="1"/>
  <c r="BD72" i="1"/>
  <c r="AX72" i="1"/>
  <c r="AP72" i="1"/>
  <c r="BI72" i="1" s="1"/>
  <c r="AO72" i="1"/>
  <c r="AL72" i="1"/>
  <c r="AJ72" i="1"/>
  <c r="AH72" i="1"/>
  <c r="AG72" i="1"/>
  <c r="AF72" i="1"/>
  <c r="AE72" i="1"/>
  <c r="AD72" i="1"/>
  <c r="AC72" i="1"/>
  <c r="AB72" i="1"/>
  <c r="Z72" i="1"/>
  <c r="L72" i="1"/>
  <c r="J72" i="1"/>
  <c r="AK72" i="1" s="1"/>
  <c r="AT71" i="1" s="1"/>
  <c r="I72" i="1"/>
  <c r="AU71" i="1"/>
  <c r="AS71" i="1"/>
  <c r="J71" i="1"/>
  <c r="BJ70" i="1"/>
  <c r="BD70" i="1"/>
  <c r="AP70" i="1"/>
  <c r="BI70" i="1" s="1"/>
  <c r="AO70" i="1"/>
  <c r="BH70" i="1" s="1"/>
  <c r="AL70" i="1"/>
  <c r="AJ70" i="1"/>
  <c r="AS68" i="1" s="1"/>
  <c r="AH70" i="1"/>
  <c r="AG70" i="1"/>
  <c r="AF70" i="1"/>
  <c r="AE70" i="1"/>
  <c r="AD70" i="1"/>
  <c r="AC70" i="1"/>
  <c r="AB70" i="1"/>
  <c r="Z70" i="1"/>
  <c r="L70" i="1"/>
  <c r="BF70" i="1" s="1"/>
  <c r="J70" i="1"/>
  <c r="AK70" i="1" s="1"/>
  <c r="H70" i="1"/>
  <c r="H68" i="1" s="1"/>
  <c r="BJ69" i="1"/>
  <c r="BF69" i="1"/>
  <c r="BD69" i="1"/>
  <c r="AW69" i="1"/>
  <c r="AP69" i="1"/>
  <c r="BI69" i="1" s="1"/>
  <c r="AO69" i="1"/>
  <c r="BH69" i="1" s="1"/>
  <c r="AL69" i="1"/>
  <c r="AU68" i="1" s="1"/>
  <c r="AJ69" i="1"/>
  <c r="AH69" i="1"/>
  <c r="AG69" i="1"/>
  <c r="AF69" i="1"/>
  <c r="AE69" i="1"/>
  <c r="AD69" i="1"/>
  <c r="AC69" i="1"/>
  <c r="AB69" i="1"/>
  <c r="Z69" i="1"/>
  <c r="L69" i="1"/>
  <c r="J69" i="1"/>
  <c r="I69" i="1"/>
  <c r="H69" i="1"/>
  <c r="L68" i="1"/>
  <c r="BJ67" i="1"/>
  <c r="BD67" i="1"/>
  <c r="AX67" i="1"/>
  <c r="AP67" i="1"/>
  <c r="BI67" i="1" s="1"/>
  <c r="AO67" i="1"/>
  <c r="AL67" i="1"/>
  <c r="AJ67" i="1"/>
  <c r="AH67" i="1"/>
  <c r="AG67" i="1"/>
  <c r="AF67" i="1"/>
  <c r="AE67" i="1"/>
  <c r="AD67" i="1"/>
  <c r="AC67" i="1"/>
  <c r="AB67" i="1"/>
  <c r="Z67" i="1"/>
  <c r="L67" i="1"/>
  <c r="J67" i="1"/>
  <c r="AK67" i="1" s="1"/>
  <c r="AT66" i="1" s="1"/>
  <c r="I67" i="1"/>
  <c r="AU66" i="1"/>
  <c r="AS66" i="1"/>
  <c r="J66" i="1"/>
  <c r="I66" i="1"/>
  <c r="BJ65" i="1"/>
  <c r="BI65" i="1"/>
  <c r="BD65" i="1"/>
  <c r="AP65" i="1"/>
  <c r="AO65" i="1"/>
  <c r="BH65" i="1" s="1"/>
  <c r="AL65" i="1"/>
  <c r="AJ65" i="1"/>
  <c r="AS63" i="1" s="1"/>
  <c r="AH65" i="1"/>
  <c r="AG65" i="1"/>
  <c r="AF65" i="1"/>
  <c r="AE65" i="1"/>
  <c r="AD65" i="1"/>
  <c r="AC65" i="1"/>
  <c r="AB65" i="1"/>
  <c r="Z65" i="1"/>
  <c r="L65" i="1"/>
  <c r="BF65" i="1" s="1"/>
  <c r="J65" i="1"/>
  <c r="AK65" i="1" s="1"/>
  <c r="H65" i="1"/>
  <c r="H63" i="1" s="1"/>
  <c r="BJ64" i="1"/>
  <c r="BF64" i="1"/>
  <c r="BD64" i="1"/>
  <c r="AW64" i="1"/>
  <c r="AP64" i="1"/>
  <c r="BI64" i="1" s="1"/>
  <c r="AO64" i="1"/>
  <c r="BH64" i="1" s="1"/>
  <c r="AL64" i="1"/>
  <c r="AU63" i="1" s="1"/>
  <c r="AJ64" i="1"/>
  <c r="AH64" i="1"/>
  <c r="AG64" i="1"/>
  <c r="AF64" i="1"/>
  <c r="AE64" i="1"/>
  <c r="AD64" i="1"/>
  <c r="AC64" i="1"/>
  <c r="AB64" i="1"/>
  <c r="Z64" i="1"/>
  <c r="L64" i="1"/>
  <c r="J64" i="1"/>
  <c r="I64" i="1"/>
  <c r="H64" i="1"/>
  <c r="L63" i="1"/>
  <c r="BJ62" i="1"/>
  <c r="BD62" i="1"/>
  <c r="AX62" i="1"/>
  <c r="AP62" i="1"/>
  <c r="BI62" i="1" s="1"/>
  <c r="AC62" i="1" s="1"/>
  <c r="AO62" i="1"/>
  <c r="AL62" i="1"/>
  <c r="AJ62" i="1"/>
  <c r="AH62" i="1"/>
  <c r="AG62" i="1"/>
  <c r="AF62" i="1"/>
  <c r="AE62" i="1"/>
  <c r="AD62" i="1"/>
  <c r="Z62" i="1"/>
  <c r="L62" i="1"/>
  <c r="BF62" i="1" s="1"/>
  <c r="J62" i="1"/>
  <c r="AK62" i="1" s="1"/>
  <c r="I62" i="1"/>
  <c r="BJ61" i="1"/>
  <c r="BD61" i="1"/>
  <c r="AP61" i="1"/>
  <c r="BI61" i="1" s="1"/>
  <c r="AC61" i="1" s="1"/>
  <c r="AO61" i="1"/>
  <c r="BH61" i="1" s="1"/>
  <c r="AB61" i="1" s="1"/>
  <c r="AL61" i="1"/>
  <c r="AK61" i="1"/>
  <c r="AJ61" i="1"/>
  <c r="AH61" i="1"/>
  <c r="AG61" i="1"/>
  <c r="AF61" i="1"/>
  <c r="AE61" i="1"/>
  <c r="AD61" i="1"/>
  <c r="Z61" i="1"/>
  <c r="L61" i="1"/>
  <c r="BF61" i="1" s="1"/>
  <c r="J61" i="1"/>
  <c r="I61" i="1"/>
  <c r="H61" i="1"/>
  <c r="BJ60" i="1"/>
  <c r="BD60" i="1"/>
  <c r="AX60" i="1"/>
  <c r="AP60" i="1"/>
  <c r="BI60" i="1" s="1"/>
  <c r="AC60" i="1" s="1"/>
  <c r="AO60" i="1"/>
  <c r="AL60" i="1"/>
  <c r="AJ60" i="1"/>
  <c r="AH60" i="1"/>
  <c r="AG60" i="1"/>
  <c r="AF60" i="1"/>
  <c r="AE60" i="1"/>
  <c r="AD60" i="1"/>
  <c r="Z60" i="1"/>
  <c r="L60" i="1"/>
  <c r="J60" i="1"/>
  <c r="AK60" i="1" s="1"/>
  <c r="I60" i="1"/>
  <c r="BJ59" i="1"/>
  <c r="BD59" i="1"/>
  <c r="AP59" i="1"/>
  <c r="BI59" i="1" s="1"/>
  <c r="AC59" i="1" s="1"/>
  <c r="AO59" i="1"/>
  <c r="BH59" i="1" s="1"/>
  <c r="AB59" i="1" s="1"/>
  <c r="AL59" i="1"/>
  <c r="AK59" i="1"/>
  <c r="AT58" i="1" s="1"/>
  <c r="AJ59" i="1"/>
  <c r="AH59" i="1"/>
  <c r="AG59" i="1"/>
  <c r="AF59" i="1"/>
  <c r="AE59" i="1"/>
  <c r="AD59" i="1"/>
  <c r="Z59" i="1"/>
  <c r="L59" i="1"/>
  <c r="BF59" i="1" s="1"/>
  <c r="J59" i="1"/>
  <c r="I59" i="1"/>
  <c r="I58" i="1" s="1"/>
  <c r="H59" i="1"/>
  <c r="AU58" i="1"/>
  <c r="AS58" i="1"/>
  <c r="J58" i="1"/>
  <c r="BJ57" i="1"/>
  <c r="BF57" i="1"/>
  <c r="BD57" i="1"/>
  <c r="AW57" i="1"/>
  <c r="AP57" i="1"/>
  <c r="BI57" i="1" s="1"/>
  <c r="AC57" i="1" s="1"/>
  <c r="AO57" i="1"/>
  <c r="BH57" i="1" s="1"/>
  <c r="AB57" i="1" s="1"/>
  <c r="AL57" i="1"/>
  <c r="AU55" i="1" s="1"/>
  <c r="AJ57" i="1"/>
  <c r="AH57" i="1"/>
  <c r="AG57" i="1"/>
  <c r="AF57" i="1"/>
  <c r="AE57" i="1"/>
  <c r="AD57" i="1"/>
  <c r="Z57" i="1"/>
  <c r="L57" i="1"/>
  <c r="J57" i="1"/>
  <c r="AK57" i="1" s="1"/>
  <c r="I57" i="1"/>
  <c r="H57" i="1"/>
  <c r="BJ56" i="1"/>
  <c r="BD56" i="1"/>
  <c r="AP56" i="1"/>
  <c r="BI56" i="1" s="1"/>
  <c r="AC56" i="1" s="1"/>
  <c r="AO56" i="1"/>
  <c r="BH56" i="1" s="1"/>
  <c r="AB56" i="1" s="1"/>
  <c r="AL56" i="1"/>
  <c r="AJ56" i="1"/>
  <c r="AS55" i="1" s="1"/>
  <c r="AH56" i="1"/>
  <c r="AG56" i="1"/>
  <c r="AF56" i="1"/>
  <c r="AE56" i="1"/>
  <c r="AD56" i="1"/>
  <c r="Z56" i="1"/>
  <c r="L56" i="1"/>
  <c r="BF56" i="1" s="1"/>
  <c r="J56" i="1"/>
  <c r="H56" i="1"/>
  <c r="H55" i="1" s="1"/>
  <c r="L55" i="1"/>
  <c r="BJ54" i="1"/>
  <c r="BD54" i="1"/>
  <c r="AX54" i="1"/>
  <c r="AP54" i="1"/>
  <c r="BI54" i="1" s="1"/>
  <c r="AE54" i="1" s="1"/>
  <c r="AO54" i="1"/>
  <c r="BH54" i="1" s="1"/>
  <c r="AD54" i="1" s="1"/>
  <c r="AL54" i="1"/>
  <c r="AK54" i="1"/>
  <c r="AJ54" i="1"/>
  <c r="AH54" i="1"/>
  <c r="AG54" i="1"/>
  <c r="AF54" i="1"/>
  <c r="AC54" i="1"/>
  <c r="AB54" i="1"/>
  <c r="Z54" i="1"/>
  <c r="L54" i="1"/>
  <c r="BF54" i="1" s="1"/>
  <c r="J54" i="1"/>
  <c r="I54" i="1"/>
  <c r="H54" i="1"/>
  <c r="BJ53" i="1"/>
  <c r="BD53" i="1"/>
  <c r="AX53" i="1"/>
  <c r="AP53" i="1"/>
  <c r="BI53" i="1" s="1"/>
  <c r="AE53" i="1" s="1"/>
  <c r="AO53" i="1"/>
  <c r="AL53" i="1"/>
  <c r="AJ53" i="1"/>
  <c r="AH53" i="1"/>
  <c r="AG53" i="1"/>
  <c r="AF53" i="1"/>
  <c r="AC53" i="1"/>
  <c r="AB53" i="1"/>
  <c r="Z53" i="1"/>
  <c r="L53" i="1"/>
  <c r="BF53" i="1" s="1"/>
  <c r="J53" i="1"/>
  <c r="AK53" i="1" s="1"/>
  <c r="I53" i="1"/>
  <c r="BJ52" i="1"/>
  <c r="BD52" i="1"/>
  <c r="AP52" i="1"/>
  <c r="BI52" i="1" s="1"/>
  <c r="AE52" i="1" s="1"/>
  <c r="AO52" i="1"/>
  <c r="BH52" i="1" s="1"/>
  <c r="AD52" i="1" s="1"/>
  <c r="AL52" i="1"/>
  <c r="AK52" i="1"/>
  <c r="AJ52" i="1"/>
  <c r="AH52" i="1"/>
  <c r="AG52" i="1"/>
  <c r="AF52" i="1"/>
  <c r="AC52" i="1"/>
  <c r="AB52" i="1"/>
  <c r="Z52" i="1"/>
  <c r="L52" i="1"/>
  <c r="BF52" i="1" s="1"/>
  <c r="J52" i="1"/>
  <c r="I52" i="1"/>
  <c r="H52" i="1"/>
  <c r="BJ51" i="1"/>
  <c r="BD51" i="1"/>
  <c r="AX51" i="1"/>
  <c r="AP51" i="1"/>
  <c r="BI51" i="1" s="1"/>
  <c r="AE51" i="1" s="1"/>
  <c r="AO51" i="1"/>
  <c r="AL51" i="1"/>
  <c r="AJ51" i="1"/>
  <c r="AH51" i="1"/>
  <c r="AG51" i="1"/>
  <c r="AF51" i="1"/>
  <c r="AC51" i="1"/>
  <c r="AB51" i="1"/>
  <c r="Z51" i="1"/>
  <c r="L51" i="1"/>
  <c r="BF51" i="1" s="1"/>
  <c r="J51" i="1"/>
  <c r="AK51" i="1" s="1"/>
  <c r="I51" i="1"/>
  <c r="BJ50" i="1"/>
  <c r="BD50" i="1"/>
  <c r="AP50" i="1"/>
  <c r="BI50" i="1" s="1"/>
  <c r="AE50" i="1" s="1"/>
  <c r="AO50" i="1"/>
  <c r="BH50" i="1" s="1"/>
  <c r="AL50" i="1"/>
  <c r="AK50" i="1"/>
  <c r="AJ50" i="1"/>
  <c r="AH50" i="1"/>
  <c r="AG50" i="1"/>
  <c r="AF50" i="1"/>
  <c r="AD50" i="1"/>
  <c r="AC50" i="1"/>
  <c r="AB50" i="1"/>
  <c r="Z50" i="1"/>
  <c r="L50" i="1"/>
  <c r="BF50" i="1" s="1"/>
  <c r="J50" i="1"/>
  <c r="I50" i="1"/>
  <c r="H50" i="1"/>
  <c r="BJ49" i="1"/>
  <c r="BD49" i="1"/>
  <c r="AX49" i="1"/>
  <c r="AP49" i="1"/>
  <c r="BI49" i="1" s="1"/>
  <c r="AE49" i="1" s="1"/>
  <c r="AO49" i="1"/>
  <c r="H49" i="1" s="1"/>
  <c r="AL49" i="1"/>
  <c r="AK49" i="1"/>
  <c r="AJ49" i="1"/>
  <c r="AH49" i="1"/>
  <c r="AG49" i="1"/>
  <c r="AF49" i="1"/>
  <c r="AC49" i="1"/>
  <c r="AB49" i="1"/>
  <c r="Z49" i="1"/>
  <c r="L49" i="1"/>
  <c r="BF49" i="1" s="1"/>
  <c r="J49" i="1"/>
  <c r="I49" i="1"/>
  <c r="BJ48" i="1"/>
  <c r="BD48" i="1"/>
  <c r="AX48" i="1"/>
  <c r="AP48" i="1"/>
  <c r="I48" i="1" s="1"/>
  <c r="AO48" i="1"/>
  <c r="AL48" i="1"/>
  <c r="AJ48" i="1"/>
  <c r="AH48" i="1"/>
  <c r="AG48" i="1"/>
  <c r="AF48" i="1"/>
  <c r="AC48" i="1"/>
  <c r="AB48" i="1"/>
  <c r="Z48" i="1"/>
  <c r="L48" i="1"/>
  <c r="BF48" i="1" s="1"/>
  <c r="J48" i="1"/>
  <c r="AK48" i="1" s="1"/>
  <c r="H48" i="1"/>
  <c r="BJ47" i="1"/>
  <c r="BF47" i="1"/>
  <c r="BD47" i="1"/>
  <c r="AW47" i="1"/>
  <c r="AP47" i="1"/>
  <c r="BI47" i="1" s="1"/>
  <c r="AE47" i="1" s="1"/>
  <c r="AO47" i="1"/>
  <c r="BH47" i="1" s="1"/>
  <c r="AD47" i="1" s="1"/>
  <c r="AL47" i="1"/>
  <c r="AK47" i="1"/>
  <c r="AJ47" i="1"/>
  <c r="AH47" i="1"/>
  <c r="AG47" i="1"/>
  <c r="AF47" i="1"/>
  <c r="AC47" i="1"/>
  <c r="AB47" i="1"/>
  <c r="Z47" i="1"/>
  <c r="L47" i="1"/>
  <c r="J47" i="1"/>
  <c r="I47" i="1"/>
  <c r="H47" i="1"/>
  <c r="BJ46" i="1"/>
  <c r="BH46" i="1"/>
  <c r="BD46" i="1"/>
  <c r="AP46" i="1"/>
  <c r="I46" i="1" s="1"/>
  <c r="AO46" i="1"/>
  <c r="AW46" i="1" s="1"/>
  <c r="AL46" i="1"/>
  <c r="AJ46" i="1"/>
  <c r="AH46" i="1"/>
  <c r="AG46" i="1"/>
  <c r="AF46" i="1"/>
  <c r="AD46" i="1"/>
  <c r="AC46" i="1"/>
  <c r="AB46" i="1"/>
  <c r="Z46" i="1"/>
  <c r="L46" i="1"/>
  <c r="BF46" i="1" s="1"/>
  <c r="J46" i="1"/>
  <c r="AK46" i="1" s="1"/>
  <c r="H46" i="1"/>
  <c r="BJ45" i="1"/>
  <c r="BF45" i="1"/>
  <c r="BD45" i="1"/>
  <c r="AW45" i="1"/>
  <c r="AP45" i="1"/>
  <c r="BI45" i="1" s="1"/>
  <c r="AE45" i="1" s="1"/>
  <c r="AO45" i="1"/>
  <c r="BH45" i="1" s="1"/>
  <c r="AD45" i="1" s="1"/>
  <c r="AL45" i="1"/>
  <c r="AU41" i="1" s="1"/>
  <c r="AJ45" i="1"/>
  <c r="AH45" i="1"/>
  <c r="AG45" i="1"/>
  <c r="AF45" i="1"/>
  <c r="AC45" i="1"/>
  <c r="AB45" i="1"/>
  <c r="Z45" i="1"/>
  <c r="L45" i="1"/>
  <c r="J45" i="1"/>
  <c r="AK45" i="1" s="1"/>
  <c r="I45" i="1"/>
  <c r="H45" i="1"/>
  <c r="BJ44" i="1"/>
  <c r="BI44" i="1"/>
  <c r="BD44" i="1"/>
  <c r="AX44" i="1"/>
  <c r="AP44" i="1"/>
  <c r="I44" i="1" s="1"/>
  <c r="AO44" i="1"/>
  <c r="AW44" i="1" s="1"/>
  <c r="AV44" i="1" s="1"/>
  <c r="AL44" i="1"/>
  <c r="AJ44" i="1"/>
  <c r="AH44" i="1"/>
  <c r="AG44" i="1"/>
  <c r="AF44" i="1"/>
  <c r="AE44" i="1"/>
  <c r="AC44" i="1"/>
  <c r="AB44" i="1"/>
  <c r="Z44" i="1"/>
  <c r="L44" i="1"/>
  <c r="BF44" i="1" s="1"/>
  <c r="J44" i="1"/>
  <c r="AK44" i="1" s="1"/>
  <c r="BJ43" i="1"/>
  <c r="BF43" i="1"/>
  <c r="BD43" i="1"/>
  <c r="AW43" i="1"/>
  <c r="AP43" i="1"/>
  <c r="BI43" i="1" s="1"/>
  <c r="AE43" i="1" s="1"/>
  <c r="AO43" i="1"/>
  <c r="BH43" i="1" s="1"/>
  <c r="AD43" i="1" s="1"/>
  <c r="AL43" i="1"/>
  <c r="AK43" i="1"/>
  <c r="AJ43" i="1"/>
  <c r="AH43" i="1"/>
  <c r="AG43" i="1"/>
  <c r="AF43" i="1"/>
  <c r="AC43" i="1"/>
  <c r="AB43" i="1"/>
  <c r="Z43" i="1"/>
  <c r="L43" i="1"/>
  <c r="J43" i="1"/>
  <c r="J41" i="1" s="1"/>
  <c r="I43" i="1"/>
  <c r="H43" i="1"/>
  <c r="BJ42" i="1"/>
  <c r="BH42" i="1"/>
  <c r="BD42" i="1"/>
  <c r="AP42" i="1"/>
  <c r="I42" i="1" s="1"/>
  <c r="I41" i="1" s="1"/>
  <c r="AO42" i="1"/>
  <c r="AW42" i="1" s="1"/>
  <c r="AL42" i="1"/>
  <c r="AJ42" i="1"/>
  <c r="AH42" i="1"/>
  <c r="AG42" i="1"/>
  <c r="AF42" i="1"/>
  <c r="AD42" i="1"/>
  <c r="AC42" i="1"/>
  <c r="AB42" i="1"/>
  <c r="Z42" i="1"/>
  <c r="L42" i="1"/>
  <c r="BF42" i="1" s="1"/>
  <c r="J42" i="1"/>
  <c r="AK42" i="1" s="1"/>
  <c r="H42" i="1"/>
  <c r="L41" i="1"/>
  <c r="BJ40" i="1"/>
  <c r="BD40" i="1"/>
  <c r="AP40" i="1"/>
  <c r="AX40" i="1" s="1"/>
  <c r="AO40" i="1"/>
  <c r="BH40" i="1" s="1"/>
  <c r="AD40" i="1" s="1"/>
  <c r="AL40" i="1"/>
  <c r="AK40" i="1"/>
  <c r="AJ40" i="1"/>
  <c r="AH40" i="1"/>
  <c r="AG40" i="1"/>
  <c r="AF40" i="1"/>
  <c r="AC40" i="1"/>
  <c r="AB40" i="1"/>
  <c r="Z40" i="1"/>
  <c r="L40" i="1"/>
  <c r="BF40" i="1" s="1"/>
  <c r="J40" i="1"/>
  <c r="H40" i="1"/>
  <c r="BJ38" i="1"/>
  <c r="BH38" i="1"/>
  <c r="BD38" i="1"/>
  <c r="AX38" i="1"/>
  <c r="AW38" i="1"/>
  <c r="AP38" i="1"/>
  <c r="BI38" i="1" s="1"/>
  <c r="AE38" i="1" s="1"/>
  <c r="AO38" i="1"/>
  <c r="H38" i="1" s="1"/>
  <c r="AL38" i="1"/>
  <c r="AJ38" i="1"/>
  <c r="AH38" i="1"/>
  <c r="AG38" i="1"/>
  <c r="AF38" i="1"/>
  <c r="AD38" i="1"/>
  <c r="AC38" i="1"/>
  <c r="AB38" i="1"/>
  <c r="Z38" i="1"/>
  <c r="L38" i="1"/>
  <c r="BF38" i="1" s="1"/>
  <c r="J38" i="1"/>
  <c r="AK38" i="1" s="1"/>
  <c r="I38" i="1"/>
  <c r="BJ37" i="1"/>
  <c r="BD37" i="1"/>
  <c r="AP37" i="1"/>
  <c r="AX37" i="1" s="1"/>
  <c r="AO37" i="1"/>
  <c r="BH37" i="1" s="1"/>
  <c r="AD37" i="1" s="1"/>
  <c r="AL37" i="1"/>
  <c r="AK37" i="1"/>
  <c r="AJ37" i="1"/>
  <c r="AS30" i="1" s="1"/>
  <c r="AH37" i="1"/>
  <c r="AG37" i="1"/>
  <c r="AF37" i="1"/>
  <c r="AC37" i="1"/>
  <c r="AB37" i="1"/>
  <c r="Z37" i="1"/>
  <c r="L37" i="1"/>
  <c r="BF37" i="1" s="1"/>
  <c r="J37" i="1"/>
  <c r="H37" i="1"/>
  <c r="BJ36" i="1"/>
  <c r="BF36" i="1"/>
  <c r="BD36" i="1"/>
  <c r="AX36" i="1"/>
  <c r="AP36" i="1"/>
  <c r="BI36" i="1" s="1"/>
  <c r="AE36" i="1" s="1"/>
  <c r="AO36" i="1"/>
  <c r="H36" i="1" s="1"/>
  <c r="AL36" i="1"/>
  <c r="AJ36" i="1"/>
  <c r="AH36" i="1"/>
  <c r="AG36" i="1"/>
  <c r="AF36" i="1"/>
  <c r="AC36" i="1"/>
  <c r="AB36" i="1"/>
  <c r="Z36" i="1"/>
  <c r="L36" i="1"/>
  <c r="J36" i="1"/>
  <c r="AK36" i="1" s="1"/>
  <c r="I36" i="1"/>
  <c r="BJ35" i="1"/>
  <c r="BD35" i="1"/>
  <c r="AP35" i="1"/>
  <c r="AX35" i="1" s="1"/>
  <c r="AO35" i="1"/>
  <c r="BH35" i="1" s="1"/>
  <c r="AD35" i="1" s="1"/>
  <c r="AL35" i="1"/>
  <c r="AK35" i="1"/>
  <c r="AJ35" i="1"/>
  <c r="AH35" i="1"/>
  <c r="AG35" i="1"/>
  <c r="AF35" i="1"/>
  <c r="AC35" i="1"/>
  <c r="AB35" i="1"/>
  <c r="Z35" i="1"/>
  <c r="L35" i="1"/>
  <c r="BF35" i="1" s="1"/>
  <c r="J35" i="1"/>
  <c r="I35" i="1"/>
  <c r="H35" i="1"/>
  <c r="BJ34" i="1"/>
  <c r="BD34" i="1"/>
  <c r="AX34" i="1"/>
  <c r="AP34" i="1"/>
  <c r="BI34" i="1" s="1"/>
  <c r="AE34" i="1" s="1"/>
  <c r="AO34" i="1"/>
  <c r="AL34" i="1"/>
  <c r="AJ34" i="1"/>
  <c r="AH34" i="1"/>
  <c r="AG34" i="1"/>
  <c r="AF34" i="1"/>
  <c r="AC34" i="1"/>
  <c r="AB34" i="1"/>
  <c r="Z34" i="1"/>
  <c r="L34" i="1"/>
  <c r="BF34" i="1" s="1"/>
  <c r="J34" i="1"/>
  <c r="AK34" i="1" s="1"/>
  <c r="I34" i="1"/>
  <c r="BJ33" i="1"/>
  <c r="BD33" i="1"/>
  <c r="AP33" i="1"/>
  <c r="AX33" i="1" s="1"/>
  <c r="AO33" i="1"/>
  <c r="BH33" i="1" s="1"/>
  <c r="AD33" i="1" s="1"/>
  <c r="AL33" i="1"/>
  <c r="AK33" i="1"/>
  <c r="AJ33" i="1"/>
  <c r="AH33" i="1"/>
  <c r="AG33" i="1"/>
  <c r="AF33" i="1"/>
  <c r="AC33" i="1"/>
  <c r="AB33" i="1"/>
  <c r="Z33" i="1"/>
  <c r="L33" i="1"/>
  <c r="BF33" i="1" s="1"/>
  <c r="J33" i="1"/>
  <c r="I33" i="1"/>
  <c r="H33" i="1"/>
  <c r="BJ32" i="1"/>
  <c r="BH32" i="1"/>
  <c r="BF32" i="1"/>
  <c r="BD32" i="1"/>
  <c r="AX32" i="1"/>
  <c r="AW32" i="1"/>
  <c r="AP32" i="1"/>
  <c r="BI32" i="1" s="1"/>
  <c r="AE32" i="1" s="1"/>
  <c r="AO32" i="1"/>
  <c r="H32" i="1" s="1"/>
  <c r="AL32" i="1"/>
  <c r="AJ32" i="1"/>
  <c r="AH32" i="1"/>
  <c r="AG32" i="1"/>
  <c r="AF32" i="1"/>
  <c r="AD32" i="1"/>
  <c r="AC32" i="1"/>
  <c r="AB32" i="1"/>
  <c r="Z32" i="1"/>
  <c r="L32" i="1"/>
  <c r="J32" i="1"/>
  <c r="I32" i="1"/>
  <c r="BJ31" i="1"/>
  <c r="BD31" i="1"/>
  <c r="AP31" i="1"/>
  <c r="AX31" i="1" s="1"/>
  <c r="AO31" i="1"/>
  <c r="BH31" i="1" s="1"/>
  <c r="AD31" i="1" s="1"/>
  <c r="AL31" i="1"/>
  <c r="AK31" i="1"/>
  <c r="AJ31" i="1"/>
  <c r="AH31" i="1"/>
  <c r="AG31" i="1"/>
  <c r="AF31" i="1"/>
  <c r="AC31" i="1"/>
  <c r="AB31" i="1"/>
  <c r="Z31" i="1"/>
  <c r="L31" i="1"/>
  <c r="BF31" i="1" s="1"/>
  <c r="J31" i="1"/>
  <c r="H31" i="1"/>
  <c r="L30" i="1"/>
  <c r="BJ29" i="1"/>
  <c r="BF29" i="1"/>
  <c r="BD29" i="1"/>
  <c r="AW29" i="1"/>
  <c r="AP29" i="1"/>
  <c r="AO29" i="1"/>
  <c r="BH29" i="1" s="1"/>
  <c r="AD29" i="1" s="1"/>
  <c r="AL29" i="1"/>
  <c r="AJ29" i="1"/>
  <c r="AH29" i="1"/>
  <c r="AG29" i="1"/>
  <c r="AF29" i="1"/>
  <c r="AC29" i="1"/>
  <c r="AB29" i="1"/>
  <c r="Z29" i="1"/>
  <c r="L29" i="1"/>
  <c r="J29" i="1"/>
  <c r="AK29" i="1" s="1"/>
  <c r="H29" i="1"/>
  <c r="BJ28" i="1"/>
  <c r="BI28" i="1"/>
  <c r="AE28" i="1" s="1"/>
  <c r="BD28" i="1"/>
  <c r="AP28" i="1"/>
  <c r="I28" i="1" s="1"/>
  <c r="AO28" i="1"/>
  <c r="AL28" i="1"/>
  <c r="AJ28" i="1"/>
  <c r="AH28" i="1"/>
  <c r="AG28" i="1"/>
  <c r="AF28" i="1"/>
  <c r="AC28" i="1"/>
  <c r="AB28" i="1"/>
  <c r="Z28" i="1"/>
  <c r="L28" i="1"/>
  <c r="BF28" i="1" s="1"/>
  <c r="J28" i="1"/>
  <c r="AK28" i="1" s="1"/>
  <c r="BJ27" i="1"/>
  <c r="BI27" i="1"/>
  <c r="AE27" i="1" s="1"/>
  <c r="BF27" i="1"/>
  <c r="BD27" i="1"/>
  <c r="AW27" i="1"/>
  <c r="BC27" i="1" s="1"/>
  <c r="AV27" i="1"/>
  <c r="AP27" i="1"/>
  <c r="AX27" i="1" s="1"/>
  <c r="AO27" i="1"/>
  <c r="BH27" i="1" s="1"/>
  <c r="AD27" i="1" s="1"/>
  <c r="AL27" i="1"/>
  <c r="AK27" i="1"/>
  <c r="AJ27" i="1"/>
  <c r="AH27" i="1"/>
  <c r="AG27" i="1"/>
  <c r="AF27" i="1"/>
  <c r="AC27" i="1"/>
  <c r="AB27" i="1"/>
  <c r="Z27" i="1"/>
  <c r="L27" i="1"/>
  <c r="J27" i="1"/>
  <c r="I27" i="1"/>
  <c r="H27" i="1"/>
  <c r="BJ26" i="1"/>
  <c r="BI26" i="1"/>
  <c r="BF26" i="1"/>
  <c r="BD26" i="1"/>
  <c r="AX26" i="1"/>
  <c r="AW26" i="1"/>
  <c r="AP26" i="1"/>
  <c r="I26" i="1" s="1"/>
  <c r="AO26" i="1"/>
  <c r="BH26" i="1" s="1"/>
  <c r="AD26" i="1" s="1"/>
  <c r="AL26" i="1"/>
  <c r="AJ26" i="1"/>
  <c r="AS22" i="1" s="1"/>
  <c r="AH26" i="1"/>
  <c r="AG26" i="1"/>
  <c r="AF26" i="1"/>
  <c r="AE26" i="1"/>
  <c r="AC26" i="1"/>
  <c r="AB26" i="1"/>
  <c r="Z26" i="1"/>
  <c r="L26" i="1"/>
  <c r="J26" i="1"/>
  <c r="AK26" i="1" s="1"/>
  <c r="H26" i="1"/>
  <c r="BJ25" i="1"/>
  <c r="BF25" i="1"/>
  <c r="BD25" i="1"/>
  <c r="BC25" i="1"/>
  <c r="AW25" i="1"/>
  <c r="AV25" i="1"/>
  <c r="AP25" i="1"/>
  <c r="AX25" i="1" s="1"/>
  <c r="AO25" i="1"/>
  <c r="BH25" i="1" s="1"/>
  <c r="AD25" i="1" s="1"/>
  <c r="AL25" i="1"/>
  <c r="AJ25" i="1"/>
  <c r="AH25" i="1"/>
  <c r="AG25" i="1"/>
  <c r="AF25" i="1"/>
  <c r="AC25" i="1"/>
  <c r="AB25" i="1"/>
  <c r="Z25" i="1"/>
  <c r="L25" i="1"/>
  <c r="J25" i="1"/>
  <c r="AK25" i="1" s="1"/>
  <c r="H25" i="1"/>
  <c r="BJ24" i="1"/>
  <c r="BI24" i="1"/>
  <c r="AE24" i="1" s="1"/>
  <c r="BD24" i="1"/>
  <c r="AP24" i="1"/>
  <c r="I24" i="1" s="1"/>
  <c r="AO24" i="1"/>
  <c r="AL24" i="1"/>
  <c r="AJ24" i="1"/>
  <c r="AH24" i="1"/>
  <c r="AG24" i="1"/>
  <c r="AF24" i="1"/>
  <c r="AC24" i="1"/>
  <c r="AB24" i="1"/>
  <c r="Z24" i="1"/>
  <c r="L24" i="1"/>
  <c r="BF24" i="1" s="1"/>
  <c r="J24" i="1"/>
  <c r="AK24" i="1" s="1"/>
  <c r="BJ23" i="1"/>
  <c r="BI23" i="1"/>
  <c r="AE23" i="1" s="1"/>
  <c r="BF23" i="1"/>
  <c r="BD23" i="1"/>
  <c r="BC23" i="1"/>
  <c r="AW23" i="1"/>
  <c r="AV23" i="1"/>
  <c r="AP23" i="1"/>
  <c r="AX23" i="1" s="1"/>
  <c r="AO23" i="1"/>
  <c r="BH23" i="1" s="1"/>
  <c r="AD23" i="1" s="1"/>
  <c r="AL23" i="1"/>
  <c r="AU22" i="1" s="1"/>
  <c r="AK23" i="1"/>
  <c r="AT22" i="1" s="1"/>
  <c r="AJ23" i="1"/>
  <c r="AH23" i="1"/>
  <c r="AG23" i="1"/>
  <c r="AF23" i="1"/>
  <c r="AC23" i="1"/>
  <c r="AB23" i="1"/>
  <c r="Z23" i="1"/>
  <c r="L23" i="1"/>
  <c r="J23" i="1"/>
  <c r="J22" i="1" s="1"/>
  <c r="I23" i="1"/>
  <c r="H23" i="1"/>
  <c r="L22" i="1"/>
  <c r="BJ21" i="1"/>
  <c r="BD21" i="1"/>
  <c r="AX21" i="1"/>
  <c r="AP21" i="1"/>
  <c r="BI21" i="1" s="1"/>
  <c r="AE21" i="1" s="1"/>
  <c r="AO21" i="1"/>
  <c r="H21" i="1" s="1"/>
  <c r="AL21" i="1"/>
  <c r="AK21" i="1"/>
  <c r="AJ21" i="1"/>
  <c r="AH21" i="1"/>
  <c r="AG21" i="1"/>
  <c r="AF21" i="1"/>
  <c r="AC21" i="1"/>
  <c r="AB21" i="1"/>
  <c r="Z21" i="1"/>
  <c r="L21" i="1"/>
  <c r="BF21" i="1" s="1"/>
  <c r="J21" i="1"/>
  <c r="I21" i="1"/>
  <c r="BJ20" i="1"/>
  <c r="BD20" i="1"/>
  <c r="AX20" i="1"/>
  <c r="AP20" i="1"/>
  <c r="BI20" i="1" s="1"/>
  <c r="AE20" i="1" s="1"/>
  <c r="AO20" i="1"/>
  <c r="AL20" i="1"/>
  <c r="AK20" i="1"/>
  <c r="AJ20" i="1"/>
  <c r="AH20" i="1"/>
  <c r="AG20" i="1"/>
  <c r="AF20" i="1"/>
  <c r="AC20" i="1"/>
  <c r="AB20" i="1"/>
  <c r="Z20" i="1"/>
  <c r="L20" i="1"/>
  <c r="BF20" i="1" s="1"/>
  <c r="J20" i="1"/>
  <c r="I20" i="1"/>
  <c r="BJ19" i="1"/>
  <c r="BD19" i="1"/>
  <c r="AX19" i="1"/>
  <c r="AP19" i="1"/>
  <c r="BI19" i="1" s="1"/>
  <c r="AE19" i="1" s="1"/>
  <c r="AO19" i="1"/>
  <c r="H19" i="1" s="1"/>
  <c r="AL19" i="1"/>
  <c r="AK19" i="1"/>
  <c r="AJ19" i="1"/>
  <c r="AH19" i="1"/>
  <c r="AG19" i="1"/>
  <c r="AF19" i="1"/>
  <c r="AC19" i="1"/>
  <c r="AB19" i="1"/>
  <c r="Z19" i="1"/>
  <c r="L19" i="1"/>
  <c r="BF19" i="1" s="1"/>
  <c r="J19" i="1"/>
  <c r="I19" i="1"/>
  <c r="BJ18" i="1"/>
  <c r="BD18" i="1"/>
  <c r="AX18" i="1"/>
  <c r="AP18" i="1"/>
  <c r="BI18" i="1" s="1"/>
  <c r="AE18" i="1" s="1"/>
  <c r="AO18" i="1"/>
  <c r="AL18" i="1"/>
  <c r="AK18" i="1"/>
  <c r="AJ18" i="1"/>
  <c r="AH18" i="1"/>
  <c r="AG18" i="1"/>
  <c r="AF18" i="1"/>
  <c r="AC18" i="1"/>
  <c r="AB18" i="1"/>
  <c r="Z18" i="1"/>
  <c r="L18" i="1"/>
  <c r="BF18" i="1" s="1"/>
  <c r="J18" i="1"/>
  <c r="I18" i="1"/>
  <c r="BJ17" i="1"/>
  <c r="BD17" i="1"/>
  <c r="AX17" i="1"/>
  <c r="AP17" i="1"/>
  <c r="BI17" i="1" s="1"/>
  <c r="AE17" i="1" s="1"/>
  <c r="AO17" i="1"/>
  <c r="H17" i="1" s="1"/>
  <c r="AL17" i="1"/>
  <c r="AK17" i="1"/>
  <c r="AJ17" i="1"/>
  <c r="AH17" i="1"/>
  <c r="AG17" i="1"/>
  <c r="AF17" i="1"/>
  <c r="AC17" i="1"/>
  <c r="AB17" i="1"/>
  <c r="Z17" i="1"/>
  <c r="L17" i="1"/>
  <c r="BF17" i="1" s="1"/>
  <c r="J17" i="1"/>
  <c r="I17" i="1"/>
  <c r="BJ16" i="1"/>
  <c r="BD16" i="1"/>
  <c r="AX16" i="1"/>
  <c r="AP16" i="1"/>
  <c r="BI16" i="1" s="1"/>
  <c r="AE16" i="1" s="1"/>
  <c r="AO16" i="1"/>
  <c r="AL16" i="1"/>
  <c r="AK16" i="1"/>
  <c r="AT15" i="1" s="1"/>
  <c r="AJ16" i="1"/>
  <c r="AH16" i="1"/>
  <c r="AG16" i="1"/>
  <c r="AF16" i="1"/>
  <c r="AC16" i="1"/>
  <c r="AB16" i="1"/>
  <c r="Z16" i="1"/>
  <c r="L16" i="1"/>
  <c r="J16" i="1"/>
  <c r="I16" i="1"/>
  <c r="I15" i="1" s="1"/>
  <c r="AU15" i="1"/>
  <c r="AS15" i="1"/>
  <c r="J15" i="1"/>
  <c r="BJ14" i="1"/>
  <c r="BI14" i="1"/>
  <c r="AC14" i="1" s="1"/>
  <c r="BF14" i="1"/>
  <c r="BD14" i="1"/>
  <c r="AW14" i="1"/>
  <c r="AP14" i="1"/>
  <c r="AO14" i="1"/>
  <c r="BH14" i="1" s="1"/>
  <c r="AB14" i="1" s="1"/>
  <c r="AL14" i="1"/>
  <c r="AJ14" i="1"/>
  <c r="AH14" i="1"/>
  <c r="AG14" i="1"/>
  <c r="AF14" i="1"/>
  <c r="AE14" i="1"/>
  <c r="AD14" i="1"/>
  <c r="Z14" i="1"/>
  <c r="L14" i="1"/>
  <c r="J14" i="1"/>
  <c r="AK14" i="1" s="1"/>
  <c r="H14" i="1"/>
  <c r="BJ13" i="1"/>
  <c r="BF13" i="1"/>
  <c r="BD13" i="1"/>
  <c r="AX13" i="1"/>
  <c r="AW13" i="1"/>
  <c r="AP13" i="1"/>
  <c r="I13" i="1" s="1"/>
  <c r="AO13" i="1"/>
  <c r="BH13" i="1" s="1"/>
  <c r="AB13" i="1" s="1"/>
  <c r="AL13" i="1"/>
  <c r="AJ13" i="1"/>
  <c r="AH13" i="1"/>
  <c r="AG13" i="1"/>
  <c r="C19" i="3" s="1"/>
  <c r="AF13" i="1"/>
  <c r="AE13" i="1"/>
  <c r="AD13" i="1"/>
  <c r="Z13" i="1"/>
  <c r="L13" i="1"/>
  <c r="L12" i="1" s="1"/>
  <c r="J13" i="1"/>
  <c r="H13" i="1"/>
  <c r="H12" i="1" s="1"/>
  <c r="AU1" i="1"/>
  <c r="AT1" i="1"/>
  <c r="AS1" i="1"/>
  <c r="I12" i="1" l="1"/>
  <c r="AV13" i="1"/>
  <c r="BC13" i="1"/>
  <c r="C29" i="3"/>
  <c r="F29" i="3" s="1"/>
  <c r="AU12" i="1"/>
  <c r="AX14" i="1"/>
  <c r="BC14" i="1" s="1"/>
  <c r="I14" i="1"/>
  <c r="BF16" i="1"/>
  <c r="L15" i="1"/>
  <c r="AW18" i="1"/>
  <c r="H18" i="1"/>
  <c r="BH18" i="1"/>
  <c r="AD18" i="1" s="1"/>
  <c r="AV14" i="1"/>
  <c r="AW20" i="1"/>
  <c r="H20" i="1"/>
  <c r="BH20" i="1"/>
  <c r="AD20" i="1" s="1"/>
  <c r="AV26" i="1"/>
  <c r="BC26" i="1"/>
  <c r="AK13" i="1"/>
  <c r="AT12" i="1" s="1"/>
  <c r="J12" i="1"/>
  <c r="BH24" i="1"/>
  <c r="AD24" i="1" s="1"/>
  <c r="H24" i="1"/>
  <c r="H22" i="1" s="1"/>
  <c r="AW24" i="1"/>
  <c r="BH28" i="1"/>
  <c r="AD28" i="1" s="1"/>
  <c r="H28" i="1"/>
  <c r="AW28" i="1"/>
  <c r="H30" i="1"/>
  <c r="AS12" i="1"/>
  <c r="AW16" i="1"/>
  <c r="H16" i="1"/>
  <c r="H15" i="1" s="1"/>
  <c r="BH16" i="1"/>
  <c r="AD16" i="1" s="1"/>
  <c r="AK32" i="1"/>
  <c r="J30" i="1"/>
  <c r="H34" i="1"/>
  <c r="BH34" i="1"/>
  <c r="AD34" i="1" s="1"/>
  <c r="AW34" i="1"/>
  <c r="BI37" i="1"/>
  <c r="AE37" i="1" s="1"/>
  <c r="C20" i="3"/>
  <c r="AW17" i="1"/>
  <c r="AW19" i="1"/>
  <c r="AW21" i="1"/>
  <c r="BI29" i="1"/>
  <c r="AE29" i="1" s="1"/>
  <c r="AX29" i="1"/>
  <c r="AV29" i="1" s="1"/>
  <c r="BI31" i="1"/>
  <c r="AE31" i="1" s="1"/>
  <c r="AV32" i="1"/>
  <c r="BC32" i="1"/>
  <c r="BI40" i="1"/>
  <c r="AE40" i="1" s="1"/>
  <c r="AS41" i="1"/>
  <c r="AX42" i="1"/>
  <c r="BC42" i="1" s="1"/>
  <c r="BI42" i="1"/>
  <c r="AE42" i="1" s="1"/>
  <c r="BH44" i="1"/>
  <c r="AD44" i="1" s="1"/>
  <c r="AW72" i="1"/>
  <c r="H72" i="1"/>
  <c r="H71" i="1" s="1"/>
  <c r="BH72" i="1"/>
  <c r="C27" i="3"/>
  <c r="AV38" i="1"/>
  <c r="BC38" i="1"/>
  <c r="BF67" i="1"/>
  <c r="L66" i="1"/>
  <c r="AW79" i="1"/>
  <c r="H79" i="1"/>
  <c r="H77" i="1" s="1"/>
  <c r="C21" i="3"/>
  <c r="BI13" i="1"/>
  <c r="AC13" i="1" s="1"/>
  <c r="C15" i="3" s="1"/>
  <c r="BH17" i="1"/>
  <c r="AD17" i="1" s="1"/>
  <c r="BH19" i="1"/>
  <c r="AD19" i="1" s="1"/>
  <c r="BH21" i="1"/>
  <c r="AD21" i="1" s="1"/>
  <c r="AT30" i="1"/>
  <c r="AU30" i="1"/>
  <c r="BI33" i="1"/>
  <c r="AE33" i="1" s="1"/>
  <c r="I37" i="1"/>
  <c r="BH48" i="1"/>
  <c r="AD48" i="1" s="1"/>
  <c r="AW48" i="1"/>
  <c r="BF72" i="1"/>
  <c r="L71" i="1"/>
  <c r="AX56" i="1"/>
  <c r="I56" i="1"/>
  <c r="I55" i="1" s="1"/>
  <c r="AX75" i="1"/>
  <c r="I75" i="1"/>
  <c r="I74" i="1" s="1"/>
  <c r="BI75" i="1"/>
  <c r="C18" i="3"/>
  <c r="AX24" i="1"/>
  <c r="I25" i="1"/>
  <c r="I22" i="1" s="1"/>
  <c r="BI25" i="1"/>
  <c r="AE25" i="1" s="1"/>
  <c r="C17" i="3" s="1"/>
  <c r="AX28" i="1"/>
  <c r="I29" i="1"/>
  <c r="BC29" i="1"/>
  <c r="I31" i="1"/>
  <c r="BI35" i="1"/>
  <c r="AE35" i="1" s="1"/>
  <c r="AW36" i="1"/>
  <c r="BH36" i="1"/>
  <c r="AD36" i="1" s="1"/>
  <c r="C16" i="3" s="1"/>
  <c r="I40" i="1"/>
  <c r="AT41" i="1"/>
  <c r="AV42" i="1"/>
  <c r="BC43" i="1"/>
  <c r="H44" i="1"/>
  <c r="H41" i="1" s="1"/>
  <c r="BC44" i="1"/>
  <c r="AX46" i="1"/>
  <c r="BC46" i="1" s="1"/>
  <c r="BI46" i="1"/>
  <c r="AE46" i="1" s="1"/>
  <c r="BI48" i="1"/>
  <c r="AE48" i="1" s="1"/>
  <c r="AW67" i="1"/>
  <c r="H67" i="1"/>
  <c r="H66" i="1" s="1"/>
  <c r="BH67" i="1"/>
  <c r="AW31" i="1"/>
  <c r="AW33" i="1"/>
  <c r="AW35" i="1"/>
  <c r="AW37" i="1"/>
  <c r="AW40" i="1"/>
  <c r="AX43" i="1"/>
  <c r="AV43" i="1" s="1"/>
  <c r="AX45" i="1"/>
  <c r="BC45" i="1" s="1"/>
  <c r="AX47" i="1"/>
  <c r="AV47" i="1" s="1"/>
  <c r="AW49" i="1"/>
  <c r="BH49" i="1"/>
  <c r="AD49" i="1" s="1"/>
  <c r="J55" i="1"/>
  <c r="BF60" i="1"/>
  <c r="L58" i="1"/>
  <c r="AK64" i="1"/>
  <c r="AT63" i="1" s="1"/>
  <c r="J63" i="1"/>
  <c r="AX65" i="1"/>
  <c r="I65" i="1"/>
  <c r="I63" i="1" s="1"/>
  <c r="BF79" i="1"/>
  <c r="L77" i="1"/>
  <c r="F22" i="3"/>
  <c r="I27" i="4"/>
  <c r="F29" i="4" s="1"/>
  <c r="AW51" i="1"/>
  <c r="H51" i="1"/>
  <c r="BH51" i="1"/>
  <c r="AD51" i="1" s="1"/>
  <c r="AW53" i="1"/>
  <c r="H53" i="1"/>
  <c r="BH53" i="1"/>
  <c r="AD53" i="1" s="1"/>
  <c r="AW60" i="1"/>
  <c r="H60" i="1"/>
  <c r="H58" i="1" s="1"/>
  <c r="BH60" i="1"/>
  <c r="AB60" i="1" s="1"/>
  <c r="C14" i="3" s="1"/>
  <c r="AW62" i="1"/>
  <c r="H62" i="1"/>
  <c r="BH62" i="1"/>
  <c r="AB62" i="1" s="1"/>
  <c r="AK69" i="1"/>
  <c r="AT68" i="1" s="1"/>
  <c r="J68" i="1"/>
  <c r="AX70" i="1"/>
  <c r="I70" i="1"/>
  <c r="I68" i="1" s="1"/>
  <c r="AT74" i="1"/>
  <c r="AK76" i="1"/>
  <c r="J74" i="1"/>
  <c r="I22" i="3"/>
  <c r="AW50" i="1"/>
  <c r="AW52" i="1"/>
  <c r="AW54" i="1"/>
  <c r="AK56" i="1"/>
  <c r="AT55" i="1" s="1"/>
  <c r="AX57" i="1"/>
  <c r="AV57" i="1" s="1"/>
  <c r="AW59" i="1"/>
  <c r="AW61" i="1"/>
  <c r="AX64" i="1"/>
  <c r="BC64" i="1" s="1"/>
  <c r="AX69" i="1"/>
  <c r="AV69" i="1" s="1"/>
  <c r="AW73" i="1"/>
  <c r="AX76" i="1"/>
  <c r="BC76" i="1" s="1"/>
  <c r="AW78" i="1"/>
  <c r="AX50" i="1"/>
  <c r="AX52" i="1"/>
  <c r="AW56" i="1"/>
  <c r="AX59" i="1"/>
  <c r="AX61" i="1"/>
  <c r="AW65" i="1"/>
  <c r="AW70" i="1"/>
  <c r="AX73" i="1"/>
  <c r="AW75" i="1"/>
  <c r="AX78" i="1"/>
  <c r="C22" i="3" l="1"/>
  <c r="BC78" i="1"/>
  <c r="AV78" i="1"/>
  <c r="BC31" i="1"/>
  <c r="AV31" i="1"/>
  <c r="AV56" i="1"/>
  <c r="BC56" i="1"/>
  <c r="BC61" i="1"/>
  <c r="AV61" i="1"/>
  <c r="BC54" i="1"/>
  <c r="AV54" i="1"/>
  <c r="AV60" i="1"/>
  <c r="BC60" i="1"/>
  <c r="C28" i="3"/>
  <c r="F28" i="3" s="1"/>
  <c r="BC37" i="1"/>
  <c r="AV37" i="1"/>
  <c r="BC69" i="1"/>
  <c r="AV67" i="1"/>
  <c r="BC67" i="1"/>
  <c r="AV45" i="1"/>
  <c r="AV36" i="1"/>
  <c r="BC36" i="1"/>
  <c r="AV64" i="1"/>
  <c r="AV48" i="1"/>
  <c r="BC48" i="1"/>
  <c r="AV46" i="1"/>
  <c r="BC19" i="1"/>
  <c r="AV19" i="1"/>
  <c r="AV76" i="1"/>
  <c r="AV28" i="1"/>
  <c r="BC28" i="1"/>
  <c r="BC40" i="1"/>
  <c r="AV40" i="1"/>
  <c r="AV70" i="1"/>
  <c r="BC70" i="1"/>
  <c r="AV65" i="1"/>
  <c r="BC65" i="1"/>
  <c r="BC73" i="1"/>
  <c r="AV73" i="1"/>
  <c r="BC59" i="1"/>
  <c r="AV59" i="1"/>
  <c r="BC52" i="1"/>
  <c r="AV52" i="1"/>
  <c r="AV62" i="1"/>
  <c r="BC62" i="1"/>
  <c r="AV35" i="1"/>
  <c r="BC35" i="1"/>
  <c r="AV79" i="1"/>
  <c r="BC79" i="1"/>
  <c r="BC17" i="1"/>
  <c r="AV17" i="1"/>
  <c r="AV16" i="1"/>
  <c r="BC16" i="1"/>
  <c r="AV20" i="1"/>
  <c r="BC20" i="1"/>
  <c r="AV75" i="1"/>
  <c r="BC75" i="1"/>
  <c r="BC50" i="1"/>
  <c r="AV50" i="1"/>
  <c r="AV51" i="1"/>
  <c r="BC51" i="1"/>
  <c r="AV33" i="1"/>
  <c r="BC33" i="1"/>
  <c r="I30" i="1"/>
  <c r="BC57" i="1"/>
  <c r="AV72" i="1"/>
  <c r="BC72" i="1"/>
  <c r="AV34" i="1"/>
  <c r="BC34" i="1"/>
  <c r="AV18" i="1"/>
  <c r="BC18" i="1"/>
  <c r="AV53" i="1"/>
  <c r="BC53" i="1"/>
  <c r="BC49" i="1"/>
  <c r="AV49" i="1"/>
  <c r="I28" i="3"/>
  <c r="I29" i="3" s="1"/>
  <c r="BC47" i="1"/>
  <c r="BC21" i="1"/>
  <c r="AV21" i="1"/>
  <c r="AV24" i="1"/>
  <c r="BC24" i="1"/>
  <c r="J80" i="1"/>
</calcChain>
</file>

<file path=xl/sharedStrings.xml><?xml version="1.0" encoding="utf-8"?>
<sst xmlns="http://schemas.openxmlformats.org/spreadsheetml/2006/main" count="1264" uniqueCount="324">
  <si>
    <t>Slepý stavební rozpočet</t>
  </si>
  <si>
    <t>Název stavby:</t>
  </si>
  <si>
    <t>Stavební úpravy bytového domu - část VYTÁPĚNÍ</t>
  </si>
  <si>
    <t>Doba výstavby:</t>
  </si>
  <si>
    <t>26 dní</t>
  </si>
  <si>
    <t>Objednatel:</t>
  </si>
  <si>
    <t>Město Bohumín, Masarykova158, 735 81 Bohumín</t>
  </si>
  <si>
    <t>Druh stavby:</t>
  </si>
  <si>
    <t>Budova pro bydlení</t>
  </si>
  <si>
    <t>Začátek výstavby:</t>
  </si>
  <si>
    <t>Projektant:</t>
  </si>
  <si>
    <t>Ing. Stanislav Wilczek</t>
  </si>
  <si>
    <t>Umístění:</t>
  </si>
  <si>
    <t>Partyzánská 302, Bohumín – Pudlov</t>
  </si>
  <si>
    <t>Konec výstavby:</t>
  </si>
  <si>
    <t>Zhotovitel:</t>
  </si>
  <si>
    <t> </t>
  </si>
  <si>
    <t>JKSO:</t>
  </si>
  <si>
    <t xml:space="preserve"> </t>
  </si>
  <si>
    <t>Zpracováno dne:</t>
  </si>
  <si>
    <t>16.02.2025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</si>
  <si>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</si>
  <si>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</si>
  <si>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</si>
  <si>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</si>
  <si>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</si>
  <si>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</si>
  <si>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</si>
  <si>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</si>
  <si>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</si>
  <si>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</si>
  <si>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</si>
  <si>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</si>
  <si>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</si>
  <si>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</si>
  <si>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</si>
  <si>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</si>
  <si>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</si>
  <si>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Celkem/MJ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</si>
  <si>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</si>
  <si>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</si>
  <si>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</si>
  <si>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</si>
  <si>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</si>
  <si>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</si>
  <si>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</si>
  <si>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</si>
  <si>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</si>
  <si>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</si>
  <si>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</si>
  <si>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</si>
  <si>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</si>
  <si>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61</t>
  </si>
  <si>
    <t>Úprava povrchů vnitřní</t>
  </si>
  <si>
    <t>1</t>
  </si>
  <si>
    <t>611401111R00</t>
  </si>
  <si>
    <t>Zapravení prostupů strop / podlaha dobetonováním</t>
  </si>
  <si>
    <t>kus</t>
  </si>
  <si>
    <t>61_</t>
  </si>
  <si>
    <t>6_</t>
  </si>
  <si>
    <t>_</t>
  </si>
  <si>
    <t>2</t>
  </si>
  <si>
    <t>612401191R00</t>
  </si>
  <si>
    <t>Omítka malých ploch vnitřních stěn do 0,09 m2 (prostupy 1.PP)</t>
  </si>
  <si>
    <t>713</t>
  </si>
  <si>
    <t>Izolace tepelné</t>
  </si>
  <si>
    <t>3</t>
  </si>
  <si>
    <t>713552111R00</t>
  </si>
  <si>
    <t>Protipožární ucpávka dvojice potrubí, EI90 ochr. pásem, viz TZ</t>
  </si>
  <si>
    <t>7</t>
  </si>
  <si>
    <t>713_</t>
  </si>
  <si>
    <t>71_</t>
  </si>
  <si>
    <t>4</t>
  </si>
  <si>
    <t>722181244RT5</t>
  </si>
  <si>
    <t>Izolace návleková s povrch.úpravou, průměr 15 mm,  tl. stěny 20 mm</t>
  </si>
  <si>
    <t>m</t>
  </si>
  <si>
    <t>5</t>
  </si>
  <si>
    <t>722181244RT6</t>
  </si>
  <si>
    <t>Izolace návleková s povrch.úpravou, průměr 18 mm, tl. stěny 20 mm</t>
  </si>
  <si>
    <t>6</t>
  </si>
  <si>
    <t>722181245RT7</t>
  </si>
  <si>
    <t>Izolace návleková s povrch.úpravou, průměr 20 mm, tl. stěny 25 mm</t>
  </si>
  <si>
    <t>722181245RT9</t>
  </si>
  <si>
    <t>Izolace návleková s povrch.úpravou, průměr 28 mm, tl. stěny 25 mm</t>
  </si>
  <si>
    <t>8</t>
  </si>
  <si>
    <t>722181245RV9</t>
  </si>
  <si>
    <t>Izolace návleková s povrch.úpravou, průměr 35 mm, tl. stěny 25 mm</t>
  </si>
  <si>
    <t>733</t>
  </si>
  <si>
    <t>Rozvod potrubí</t>
  </si>
  <si>
    <t>9</t>
  </si>
  <si>
    <t>733163102R00</t>
  </si>
  <si>
    <t>Potrubí z měděných trubek vytápění D 15 x 1,0 mm</t>
  </si>
  <si>
    <t>733_</t>
  </si>
  <si>
    <t>73_</t>
  </si>
  <si>
    <t>10</t>
  </si>
  <si>
    <t>733163103R00</t>
  </si>
  <si>
    <t>Potrubí z měděných trubek vytápění D 18 x 1,0 mm</t>
  </si>
  <si>
    <t>11</t>
  </si>
  <si>
    <t>733163104R00</t>
  </si>
  <si>
    <t>Potrubí z měděných trubek vytápění D 22 x 1,0 mm</t>
  </si>
  <si>
    <t>12</t>
  </si>
  <si>
    <t>733163105R00</t>
  </si>
  <si>
    <t>Potrubí z měděných trubek vytápění D 28 x 1,0 mm</t>
  </si>
  <si>
    <t>13</t>
  </si>
  <si>
    <t>733163106R00</t>
  </si>
  <si>
    <t>Potrubí z měděných trubek vytápění D 35 x 1,0 mm</t>
  </si>
  <si>
    <t>14</t>
  </si>
  <si>
    <t>733167001R00</t>
  </si>
  <si>
    <t>Příplatek za zhotovení přípojky Cu 15/1</t>
  </si>
  <si>
    <t>15</t>
  </si>
  <si>
    <t>733190306R00</t>
  </si>
  <si>
    <t>Tlaková zkouška Cu potrubí do D 35</t>
  </si>
  <si>
    <t>734</t>
  </si>
  <si>
    <t>Armatury</t>
  </si>
  <si>
    <t>16</t>
  </si>
  <si>
    <t>734266442R00</t>
  </si>
  <si>
    <t>Šroubení dvoutr.přímé termo.Heimeier Multilux DN15</t>
  </si>
  <si>
    <t>734_</t>
  </si>
  <si>
    <t>17</t>
  </si>
  <si>
    <t>734266422R00</t>
  </si>
  <si>
    <t>Šroubení uz.dvoutr..přímé DN15 Kv=1,8 (doporuč. Vekotrim)</t>
  </si>
  <si>
    <t>18</t>
  </si>
  <si>
    <t>734266772R00</t>
  </si>
  <si>
    <t>Šroubení svěrné na měď 15x1 mm - EK</t>
  </si>
  <si>
    <t>19</t>
  </si>
  <si>
    <t>734234122R00</t>
  </si>
  <si>
    <t>Kohout kulový,vnitřní-vnitřní z. DN 15</t>
  </si>
  <si>
    <t>20</t>
  </si>
  <si>
    <t>734291113R00</t>
  </si>
  <si>
    <t>Kohouty plnící a vypouštěcí G 1/2</t>
  </si>
  <si>
    <t>21</t>
  </si>
  <si>
    <t>734215133R00</t>
  </si>
  <si>
    <t>Ventil odvzdušňovací automat DN 15 (cca)</t>
  </si>
  <si>
    <t>22</t>
  </si>
  <si>
    <t>734221672R00</t>
  </si>
  <si>
    <t>Hlavice termostatická (dopor. typ Heimeier K)</t>
  </si>
  <si>
    <t>23</t>
  </si>
  <si>
    <t>734263132R00</t>
  </si>
  <si>
    <t>Elektrické topné těleso do trubkového radiátoru 400 W</t>
  </si>
  <si>
    <t>s termostatem a časovačem</t>
  </si>
  <si>
    <t>24</t>
  </si>
  <si>
    <t>735000912R00</t>
  </si>
  <si>
    <t>Oprava-vyregulování ventilů s termost.ovládáním</t>
  </si>
  <si>
    <t>735</t>
  </si>
  <si>
    <t>Otopná tělesa (panelová s ventil. přednast. vložkou, Kvs=0,75)</t>
  </si>
  <si>
    <t>25</t>
  </si>
  <si>
    <t>735156910R00</t>
  </si>
  <si>
    <t>Tlakové zkoušky otopných těles panelových 10-11</t>
  </si>
  <si>
    <t>735_</t>
  </si>
  <si>
    <t>26</t>
  </si>
  <si>
    <t>735156920R00</t>
  </si>
  <si>
    <t>Tlakové zkoušky otopných těles panelových 20-22</t>
  </si>
  <si>
    <t>27</t>
  </si>
  <si>
    <t>735191905R00</t>
  </si>
  <si>
    <t>Oprava - odvzdušnění otopných těles</t>
  </si>
  <si>
    <t>28</t>
  </si>
  <si>
    <t>735191910R00</t>
  </si>
  <si>
    <t>Napuštění vody do otopného systému - bez kotle</t>
  </si>
  <si>
    <t>m2</t>
  </si>
  <si>
    <t>29</t>
  </si>
  <si>
    <t>735157260R00</t>
  </si>
  <si>
    <t>Otopné těleso panelové Ventil Kompakt 11, v. 600 mm, dl. 400 mm</t>
  </si>
  <si>
    <t>30</t>
  </si>
  <si>
    <t>735157261R00</t>
  </si>
  <si>
    <t>Otopné těleso panelové Ventil Kompakt 11, v. 600 mm, dl. 500 mm</t>
  </si>
  <si>
    <t>31</t>
  </si>
  <si>
    <t>735157562R00</t>
  </si>
  <si>
    <t>Otopné těleso panelové Ventil Kompakt 21, v. 600 mm, dl. 600 mm</t>
  </si>
  <si>
    <t>32</t>
  </si>
  <si>
    <t>735157563R00</t>
  </si>
  <si>
    <t>Otopné těleso panelové Ventil Kompakt 21, v. 600 mm, dl. 700 mm</t>
  </si>
  <si>
    <t>33</t>
  </si>
  <si>
    <t>735157564R00</t>
  </si>
  <si>
    <t>Otopné těleso panelové Ventil Kompakt 21, v. 600 mm, dl. 800 mm</t>
  </si>
  <si>
    <t>34</t>
  </si>
  <si>
    <t>735157565R00</t>
  </si>
  <si>
    <t>Otopné těleso panelové Ventil Kompakt 21, v. 600 mm, dl. 900 mm</t>
  </si>
  <si>
    <t>35</t>
  </si>
  <si>
    <t>735157566R00</t>
  </si>
  <si>
    <t>Otopné těleso panelové Ventil Kompakt 21, v. 600 mm, dl. 1000 mm</t>
  </si>
  <si>
    <t>36</t>
  </si>
  <si>
    <t>735171154R00</t>
  </si>
  <si>
    <t>Těleso trubkové Rondo KRM-M, v. 1820 mm, dl. 600 mm</t>
  </si>
  <si>
    <t>37</t>
  </si>
  <si>
    <t>735171146R00</t>
  </si>
  <si>
    <t>Těleso trubkové Rondo KRM-M, v. 900 mm, dl. 750 mm</t>
  </si>
  <si>
    <t>90</t>
  </si>
  <si>
    <t>Hodinové zúčtovací sazby (HZS)</t>
  </si>
  <si>
    <t>38</t>
  </si>
  <si>
    <t>904      R02</t>
  </si>
  <si>
    <t>Hzs-zkousky v ramci montaz.praci - dilatační</t>
  </si>
  <si>
    <t>h</t>
  </si>
  <si>
    <t>90_</t>
  </si>
  <si>
    <t>9_</t>
  </si>
  <si>
    <t>39</t>
  </si>
  <si>
    <t>Hzs-zkousky v ramci montaz.praci - topná</t>
  </si>
  <si>
    <t>97</t>
  </si>
  <si>
    <t>Prorážení otvorů a ostatní bourací práce</t>
  </si>
  <si>
    <t>40</t>
  </si>
  <si>
    <t>971035361R00</t>
  </si>
  <si>
    <t>Průraz svislou stavební konstrukcí, pl.0,09 m2, tl.60 cm,</t>
  </si>
  <si>
    <t>97_</t>
  </si>
  <si>
    <t>41</t>
  </si>
  <si>
    <t>971035331R00</t>
  </si>
  <si>
    <t>Průraz svislou stavební konstrukcí, tl.15 cm, MC</t>
  </si>
  <si>
    <t>42</t>
  </si>
  <si>
    <t>972054241R00</t>
  </si>
  <si>
    <t>Prostup stropem ŽB + podl. sestava  pl. 0,09 m2 tl. 300</t>
  </si>
  <si>
    <t>43</t>
  </si>
  <si>
    <t>972086391R00</t>
  </si>
  <si>
    <t>Prostup stropem ŽB + podl. sestava  pl. 0,09 m2 tl. 900</t>
  </si>
  <si>
    <t>H01</t>
  </si>
  <si>
    <t>Budovy občanské výstavby</t>
  </si>
  <si>
    <t>44</t>
  </si>
  <si>
    <t>998011001R00</t>
  </si>
  <si>
    <t>Přesun hmot pro budovy zděné výšky do 6 m</t>
  </si>
  <si>
    <t>t</t>
  </si>
  <si>
    <t>H01_</t>
  </si>
  <si>
    <t>45</t>
  </si>
  <si>
    <t>998011002R00</t>
  </si>
  <si>
    <t>Přesun hmot pro budovy zděné výšky do 12 m</t>
  </si>
  <si>
    <t>H713</t>
  </si>
  <si>
    <t>46</t>
  </si>
  <si>
    <t>998713101R00</t>
  </si>
  <si>
    <t>Přesun hmot pro izolace tepelné, výšky do 6 m</t>
  </si>
  <si>
    <t>H713_</t>
  </si>
  <si>
    <t>H733</t>
  </si>
  <si>
    <t>47</t>
  </si>
  <si>
    <t>998733101R00</t>
  </si>
  <si>
    <t>Přesun hmot pro rozvody potrubí, výšky do 6 m</t>
  </si>
  <si>
    <t>H733_</t>
  </si>
  <si>
    <t>48</t>
  </si>
  <si>
    <t>998733103R00</t>
  </si>
  <si>
    <t>Přesun hmot pro rozvody potrubí, výšky do 24 m</t>
  </si>
  <si>
    <t>H734</t>
  </si>
  <si>
    <t>49</t>
  </si>
  <si>
    <t>998734101R00</t>
  </si>
  <si>
    <t>Přesun hmot pro armatury, výšky do 6 m</t>
  </si>
  <si>
    <t>H734_</t>
  </si>
  <si>
    <t>50</t>
  </si>
  <si>
    <t>998734103R00</t>
  </si>
  <si>
    <t>Přesun hmot pro armatury, výšky do 24 m</t>
  </si>
  <si>
    <t>H735</t>
  </si>
  <si>
    <t>Otopná tělesa</t>
  </si>
  <si>
    <t>51</t>
  </si>
  <si>
    <t>998735101R00</t>
  </si>
  <si>
    <t>Přesun hmot pro otopná tělesa, výšky do 6 m</t>
  </si>
  <si>
    <t>H735_</t>
  </si>
  <si>
    <t>52</t>
  </si>
  <si>
    <t>998735102R00</t>
  </si>
  <si>
    <t>Přesun hmot pro otopná tělesa, výšky do 12 m</t>
  </si>
  <si>
    <t>S</t>
  </si>
  <si>
    <t>Odpadové hospodářství</t>
  </si>
  <si>
    <t>53</t>
  </si>
  <si>
    <t>979082212R00</t>
  </si>
  <si>
    <t>Vodorovná doprava suti po suchu do 50 m</t>
  </si>
  <si>
    <t>S_</t>
  </si>
  <si>
    <t>54</t>
  </si>
  <si>
    <t>979981101R00</t>
  </si>
  <si>
    <t>Kontejner, přistavení na 24 h, odvoz a likvidace, suť bez příměsí, kapacita 3 t</t>
  </si>
  <si>
    <t>Celkem:</t>
  </si>
  <si>
    <t>Poznámka:</t>
  </si>
  <si>
    <t>Aktualizovaný původní rozpočet stavby z 2022</t>
  </si>
  <si>
    <t>Soupis stavebních prací dodávek a služeb s výkazem výměr</t>
  </si>
  <si>
    <t>Objekt</t>
  </si>
  <si>
    <t>Potřebné množství</t>
  </si>
  <si>
    <t>Krycí list slepého rozpočtu</t>
  </si>
  <si>
    <t>IČO/DIČ:</t>
  </si>
  <si>
    <t>00297569/CZ00297569</t>
  </si>
  <si>
    <t>64590097/CZ5905071018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</si>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</sst>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6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3" fillId="0" borderId="21" xfId="0" applyNumberFormat="1" applyFont="1" applyFill="1" applyBorder="1" applyAlignment="1" applyProtection="1">
      <alignment horizontal="left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3" fillId="2" borderId="30" xfId="0" applyNumberFormat="1" applyFont="1" applyFill="1" applyBorder="1" applyAlignment="1" applyProtection="1">
      <alignment horizontal="left" vertical="center"/>
    </xf>
    <xf numFmtId="4" fontId="2" fillId="2" borderId="30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2" fillId="2" borderId="3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" fontId="2" fillId="2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0" borderId="32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/>
    </xf>
    <xf numFmtId="4" fontId="3" fillId="0" borderId="33" xfId="0" applyNumberFormat="1" applyFont="1" applyFill="1" applyBorder="1" applyAlignment="1" applyProtection="1">
      <alignment horizontal="right" vertical="center"/>
    </xf>
    <xf numFmtId="4" fontId="3" fillId="0" borderId="34" xfId="0" applyNumberFormat="1" applyFont="1" applyFill="1" applyBorder="1" applyAlignment="1" applyProtection="1">
      <alignment horizontal="right" vertical="center"/>
    </xf>
    <xf numFmtId="4" fontId="2" fillId="0" borderId="35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2" fillId="0" borderId="36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righ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31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8" fillId="2" borderId="43" xfId="0" applyNumberFormat="1" applyFont="1" applyFill="1" applyBorder="1" applyAlignment="1" applyProtection="1">
      <alignment horizontal="center" vertical="center"/>
    </xf>
    <xf numFmtId="0" fontId="8" fillId="2" borderId="46" xfId="0" applyNumberFormat="1" applyFont="1" applyFill="1" applyBorder="1" applyAlignment="1" applyProtection="1">
      <alignment horizontal="center" vertical="center"/>
    </xf>
    <xf numFmtId="0" fontId="10" fillId="0" borderId="47" xfId="0" applyNumberFormat="1" applyFont="1" applyFill="1" applyBorder="1" applyAlignment="1" applyProtection="1">
      <alignment horizontal="left" vertical="center"/>
    </xf>
    <xf numFmtId="0" fontId="11" fillId="0" borderId="48" xfId="0" applyNumberFormat="1" applyFont="1" applyFill="1" applyBorder="1" applyAlignment="1" applyProtection="1">
      <alignment horizontal="left" vertical="center"/>
    </xf>
    <xf numFmtId="4" fontId="11" fillId="0" borderId="48" xfId="0" applyNumberFormat="1" applyFont="1" applyFill="1" applyBorder="1" applyAlignment="1" applyProtection="1">
      <alignment horizontal="right" vertical="center"/>
    </xf>
    <xf numFmtId="0" fontId="11" fillId="0" borderId="48" xfId="0" applyNumberFormat="1" applyFont="1" applyFill="1" applyBorder="1" applyAlignment="1" applyProtection="1">
      <alignment horizontal="right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4" fontId="11" fillId="0" borderId="55" xfId="0" applyNumberFormat="1" applyFont="1" applyFill="1" applyBorder="1" applyAlignment="1" applyProtection="1">
      <alignment horizontal="right" vertical="center"/>
    </xf>
    <xf numFmtId="0" fontId="11" fillId="0" borderId="55" xfId="0" applyNumberFormat="1" applyFont="1" applyFill="1" applyBorder="1" applyAlignment="1" applyProtection="1">
      <alignment horizontal="right" vertical="center"/>
    </xf>
    <xf numFmtId="4" fontId="11" fillId="0" borderId="46" xfId="0" applyNumberFormat="1" applyFont="1" applyFill="1" applyBorder="1" applyAlignment="1" applyProtection="1">
      <alignment horizontal="right" vertical="center"/>
    </xf>
    <xf numFmtId="4" fontId="11" fillId="0" borderId="26" xfId="0" applyNumberFormat="1" applyFont="1" applyFill="1" applyBorder="1" applyAlignment="1" applyProtection="1">
      <alignment horizontal="right" vertical="center"/>
    </xf>
    <xf numFmtId="4" fontId="10" fillId="2" borderId="45" xfId="0" applyNumberFormat="1" applyFont="1" applyFill="1" applyBorder="1" applyAlignment="1" applyProtection="1">
      <alignment horizontal="right" vertical="center"/>
    </xf>
    <xf numFmtId="4" fontId="10" fillId="2" borderId="50" xfId="0" applyNumberFormat="1" applyFont="1" applyFill="1" applyBorder="1" applyAlignment="1" applyProtection="1">
      <alignment horizontal="right" vertical="center"/>
    </xf>
    <xf numFmtId="0" fontId="5" fillId="0" borderId="3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right" vertical="center"/>
    </xf>
    <xf numFmtId="4" fontId="3" fillId="0" borderId="48" xfId="0" applyNumberFormat="1" applyFont="1" applyFill="1" applyBorder="1" applyAlignment="1" applyProtection="1">
      <alignment horizontal="right" vertical="center"/>
    </xf>
    <xf numFmtId="0" fontId="3" fillId="0" borderId="48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2" borderId="30" xfId="0" applyNumberFormat="1" applyFont="1" applyFill="1" applyBorder="1" applyAlignment="1" applyProtection="1">
      <alignment horizontal="left" vertical="center" wrapText="1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2" fillId="0" borderId="38" xfId="0" applyNumberFormat="1" applyFont="1" applyFill="1" applyBorder="1" applyAlignment="1" applyProtection="1">
      <alignment horizontal="left" vertical="center"/>
    </xf>
    <xf numFmtId="0" fontId="2" fillId="0" borderId="39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4" xfId="0" applyNumberFormat="1" applyFont="1" applyFill="1" applyBorder="1" applyAlignment="1" applyProtection="1">
      <alignment horizontal="left" vertical="center"/>
    </xf>
    <xf numFmtId="0" fontId="7" fillId="0" borderId="42" xfId="0" applyNumberFormat="1" applyFont="1" applyFill="1" applyBorder="1" applyAlignment="1" applyProtection="1">
      <alignment horizontal="center"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10" fillId="0" borderId="52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 applyProtection="1">
      <alignment horizontal="left" vertical="center"/>
    </xf>
    <xf numFmtId="0" fontId="10" fillId="0" borderId="53" xfId="0" applyNumberFormat="1" applyFont="1" applyFill="1" applyBorder="1" applyAlignment="1" applyProtection="1">
      <alignment horizontal="left" vertical="center"/>
    </xf>
    <xf numFmtId="0" fontId="10" fillId="0" borderId="54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45" xfId="0" applyNumberFormat="1" applyFont="1" applyFill="1" applyBorder="1" applyAlignment="1" applyProtection="1">
      <alignment horizontal="left" vertical="center"/>
    </xf>
    <xf numFmtId="0" fontId="11" fillId="0" borderId="49" xfId="0" applyNumberFormat="1" applyFont="1" applyFill="1" applyBorder="1" applyAlignment="1" applyProtection="1">
      <alignment horizontal="left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6" xfId="0" applyNumberFormat="1" applyFont="1" applyFill="1" applyBorder="1" applyAlignment="1" applyProtection="1">
      <alignment horizontal="left" vertical="center"/>
    </xf>
    <xf numFmtId="0" fontId="11" fillId="0" borderId="54" xfId="0" applyNumberFormat="1" applyFont="1" applyFill="1" applyBorder="1" applyAlignment="1" applyProtection="1">
      <alignment horizontal="left" vertical="center"/>
    </xf>
    <xf numFmtId="0" fontId="10" fillId="0" borderId="44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0" fontId="10" fillId="2" borderId="57" xfId="0" applyNumberFormat="1" applyFont="1" applyFill="1" applyBorder="1" applyAlignment="1" applyProtection="1">
      <alignment horizontal="left" vertical="center"/>
    </xf>
    <xf numFmtId="0" fontId="10" fillId="2" borderId="58" xfId="0" applyNumberFormat="1" applyFont="1" applyFill="1" applyBorder="1" applyAlignment="1" applyProtection="1">
      <alignment horizontal="left" vertical="center"/>
    </xf>
    <xf numFmtId="0" fontId="10" fillId="2" borderId="52" xfId="0" applyNumberFormat="1" applyFont="1" applyFill="1" applyBorder="1" applyAlignment="1" applyProtection="1">
      <alignment horizontal="left" vertical="center"/>
    </xf>
    <xf numFmtId="0" fontId="10" fillId="2" borderId="59" xfId="0" applyNumberFormat="1" applyFont="1" applyFill="1" applyBorder="1" applyAlignment="1" applyProtection="1">
      <alignment horizontal="left" vertical="center"/>
    </xf>
    <xf numFmtId="0" fontId="10" fillId="2" borderId="44" xfId="0" applyNumberFormat="1" applyFont="1" applyFill="1" applyBorder="1" applyAlignment="1" applyProtection="1">
      <alignment horizontal="left" vertical="center"/>
    </xf>
    <xf numFmtId="0" fontId="10" fillId="2" borderId="49" xfId="0" applyNumberFormat="1" applyFont="1" applyFill="1" applyBorder="1" applyAlignment="1" applyProtection="1">
      <alignment horizontal="left" vertical="center"/>
    </xf>
    <xf numFmtId="0" fontId="11" fillId="0" borderId="60" xfId="0" applyNumberFormat="1" applyFont="1" applyFill="1" applyBorder="1" applyAlignment="1" applyProtection="1">
      <alignment horizontal="left" vertical="center"/>
    </xf>
    <xf numFmtId="0" fontId="11" fillId="0" borderId="61" xfId="0" applyNumberFormat="1" applyFont="1" applyFill="1" applyBorder="1" applyAlignment="1" applyProtection="1">
      <alignment horizontal="left" vertical="center"/>
    </xf>
    <xf numFmtId="0" fontId="11" fillId="0" borderId="62" xfId="0" applyNumberFormat="1" applyFont="1" applyFill="1" applyBorder="1" applyAlignment="1" applyProtection="1">
      <alignment horizontal="left" vertical="center"/>
    </xf>
    <xf numFmtId="0" fontId="11" fillId="0" borderId="64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65" xfId="0" applyNumberFormat="1" applyFont="1" applyFill="1" applyBorder="1" applyAlignment="1" applyProtection="1">
      <alignment horizontal="left" vertical="center"/>
    </xf>
    <xf numFmtId="0" fontId="11" fillId="0" borderId="67" xfId="0" applyNumberFormat="1" applyFont="1" applyFill="1" applyBorder="1" applyAlignment="1" applyProtection="1">
      <alignment horizontal="left" vertical="center"/>
    </xf>
    <xf numFmtId="0" fontId="11" fillId="0" borderId="68" xfId="0" applyNumberFormat="1" applyFont="1" applyFill="1" applyBorder="1" applyAlignment="1" applyProtection="1">
      <alignment horizontal="left" vertical="center"/>
    </xf>
    <xf numFmtId="0" fontId="11" fillId="0" borderId="69" xfId="0" applyNumberFormat="1" applyFont="1" applyFill="1" applyBorder="1" applyAlignment="1" applyProtection="1">
      <alignment horizontal="left" vertical="center"/>
    </xf>
    <xf numFmtId="0" fontId="11" fillId="0" borderId="63" xfId="0" applyNumberFormat="1" applyFont="1" applyFill="1" applyBorder="1" applyAlignment="1" applyProtection="1">
      <alignment horizontal="left" vertical="center"/>
    </xf>
    <xf numFmtId="0" fontId="11" fillId="0" borderId="66" xfId="0" applyNumberFormat="1" applyFont="1" applyFill="1" applyBorder="1" applyAlignment="1" applyProtection="1">
      <alignment horizontal="left" vertical="center"/>
    </xf>
    <xf numFmtId="0" fontId="11" fillId="0" borderId="70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10" fillId="0" borderId="76" xfId="0" applyNumberFormat="1" applyFont="1" applyFill="1" applyBorder="1" applyAlignment="1" applyProtection="1">
      <alignment horizontal="left" vertical="center"/>
    </xf>
    <xf numFmtId="0" fontId="10" fillId="0" borderId="77" xfId="0" applyNumberFormat="1" applyFont="1" applyFill="1" applyBorder="1" applyAlignment="1" applyProtection="1">
      <alignment horizontal="left" vertical="center"/>
    </xf>
    <xf numFmtId="0" fontId="10" fillId="0" borderId="78" xfId="0" applyNumberFormat="1" applyFont="1" applyFill="1" applyBorder="1" applyAlignment="1" applyProtection="1">
      <alignment horizontal="left" vertical="center"/>
    </xf>
    <xf numFmtId="4" fontId="10" fillId="0" borderId="80" xfId="0" applyNumberFormat="1" applyFont="1" applyFill="1" applyBorder="1" applyAlignment="1" applyProtection="1">
      <alignment horizontal="right" vertical="center"/>
    </xf>
    <xf numFmtId="0" fontId="10" fillId="0" borderId="77" xfId="0" applyNumberFormat="1" applyFont="1" applyFill="1" applyBorder="1" applyAlignment="1" applyProtection="1">
      <alignment horizontal="right" vertical="center"/>
    </xf>
    <xf numFmtId="0" fontId="10" fillId="0" borderId="78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sqref="A1:I1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7.109375" customWidth="1"/>
    <col min="4" max="4" width="10" customWidth="1"/>
    <col min="5" max="5" width="14" customWidth="1"/>
    <col min="6" max="6" width="27.109375" customWidth="1"/>
    <col min="7" max="7" width="9.109375" customWidth="1"/>
    <col min="8" max="8" width="12.88671875" customWidth="1"/>
    <col min="9" max="9" width="27.109375" customWidth="1"/>
  </cols>
  <sheetData>
    <row r="1" spans="1:9" ht="54.75" customHeight="1" x14ac:dyDescent="0.3">
      <c r="A1" s="109" t="s">
        <v>266</v>
      </c>
      <c r="B1" s="74"/>
      <c r="C1" s="74"/>
      <c r="D1" s="74"/>
      <c r="E1" s="74"/>
      <c r="F1" s="74"/>
      <c r="G1" s="74"/>
      <c r="H1" s="74"/>
      <c r="I1" s="74"/>
    </row>
    <row r="2" spans="1:9" ht="14.4" x14ac:dyDescent="0.3">
      <c r="A2" s="75" t="s">
        <v>1</v>
      </c>
      <c r="B2" s="76"/>
      <c r="C2" s="84" t="str">
        <f>'Stavební rozpočet'!C2</f>
        <v>Stavební úpravy bytového domu - část VYTÁPĚNÍ</v>
      </c>
      <c r="D2" s="85"/>
      <c r="E2" s="82" t="s">
        <v>5</v>
      </c>
      <c r="F2" s="82" t="str">
        <f>'Stavební rozpočet'!I2</f>
        <v>Město Bohumín, Masarykova158, 735 81 Bohumín</v>
      </c>
      <c r="G2" s="76"/>
      <c r="H2" s="82" t="s">
        <v>267</v>
      </c>
      <c r="I2" s="87" t="s">
        <v>268</v>
      </c>
    </row>
    <row r="3" spans="1:9" ht="15" customHeight="1" x14ac:dyDescent="0.3">
      <c r="A3" s="77"/>
      <c r="B3" s="78"/>
      <c r="C3" s="86"/>
      <c r="D3" s="86"/>
      <c r="E3" s="78"/>
      <c r="F3" s="78"/>
      <c r="G3" s="78"/>
      <c r="H3" s="78"/>
      <c r="I3" s="88"/>
    </row>
    <row r="4" spans="1:9" ht="14.4" x14ac:dyDescent="0.3">
      <c r="A4" s="79" t="s">
        <v>7</v>
      </c>
      <c r="B4" s="78"/>
      <c r="C4" s="83" t="str">
        <f>'Stavební rozpočet'!C4</f>
        <v>Budova pro bydlení</v>
      </c>
      <c r="D4" s="78"/>
      <c r="E4" s="83" t="s">
        <v>10</v>
      </c>
      <c r="F4" s="83" t="str">
        <f>'Stavební rozpočet'!I4</f>
        <v>Ing. Stanislav Wilczek</v>
      </c>
      <c r="G4" s="78"/>
      <c r="H4" s="83" t="s">
        <v>267</v>
      </c>
      <c r="I4" s="88" t="s">
        <v>269</v>
      </c>
    </row>
    <row r="5" spans="1:9" ht="15" customHeight="1" x14ac:dyDescent="0.3">
      <c r="A5" s="77"/>
      <c r="B5" s="78"/>
      <c r="C5" s="78"/>
      <c r="D5" s="78"/>
      <c r="E5" s="78"/>
      <c r="F5" s="78"/>
      <c r="G5" s="78"/>
      <c r="H5" s="78"/>
      <c r="I5" s="88"/>
    </row>
    <row r="6" spans="1:9" ht="14.4" x14ac:dyDescent="0.3">
      <c r="A6" s="79" t="s">
        <v>12</v>
      </c>
      <c r="B6" s="78"/>
      <c r="C6" s="83" t="str">
        <f>'Stavební rozpočet'!C6</f>
        <v>Partyzánská 302, Bohumín – Pudlov</v>
      </c>
      <c r="D6" s="78"/>
      <c r="E6" s="83" t="s">
        <v>15</v>
      </c>
      <c r="F6" s="83" t="str">
        <f>'Stavební rozpočet'!I6</f>
        <v> </v>
      </c>
      <c r="G6" s="78"/>
      <c r="H6" s="83" t="s">
        <v>267</v>
      </c>
      <c r="I6" s="88" t="s">
        <v>51</v>
      </c>
    </row>
    <row r="7" spans="1:9" ht="15" customHeight="1" x14ac:dyDescent="0.3">
      <c r="A7" s="77"/>
      <c r="B7" s="78"/>
      <c r="C7" s="78"/>
      <c r="D7" s="78"/>
      <c r="E7" s="78"/>
      <c r="F7" s="78"/>
      <c r="G7" s="78"/>
      <c r="H7" s="78"/>
      <c r="I7" s="88"/>
    </row>
    <row r="8" spans="1:9" ht="14.4" x14ac:dyDescent="0.3">
      <c r="A8" s="79" t="s">
        <v>9</v>
      </c>
      <c r="B8" s="78"/>
      <c r="C8" s="83"/>
      <c r="D8" s="78"/>
      <c r="E8" s="83" t="s">
        <v>14</v>
      </c>
      <c r="F8" s="83"/>
      <c r="G8" s="78"/>
      <c r="H8" s="78" t="s">
        <v>270</v>
      </c>
      <c r="I8" s="111">
        <v>54</v>
      </c>
    </row>
    <row r="9" spans="1:9" ht="14.4" x14ac:dyDescent="0.3">
      <c r="A9" s="77"/>
      <c r="B9" s="78"/>
      <c r="C9" s="78"/>
      <c r="D9" s="78"/>
      <c r="E9" s="78"/>
      <c r="F9" s="78"/>
      <c r="G9" s="78"/>
      <c r="H9" s="78"/>
      <c r="I9" s="88"/>
    </row>
    <row r="10" spans="1:9" ht="14.4" x14ac:dyDescent="0.3">
      <c r="A10" s="79" t="s">
        <v>17</v>
      </c>
      <c r="B10" s="78"/>
      <c r="C10" s="83" t="str">
        <f>'Stavební rozpočet'!C8</f>
        <v xml:space="preserve"> </v>
      </c>
      <c r="D10" s="78"/>
      <c r="E10" s="83" t="s">
        <v>21</v>
      </c>
      <c r="F10" s="83" t="str">
        <f>'Stavební rozpočet'!I8</f>
        <v>Ing. Stanislav Wilczek</v>
      </c>
      <c r="G10" s="78"/>
      <c r="H10" s="78" t="s">
        <v>271</v>
      </c>
      <c r="I10" s="112" t="str">
        <f>'Stavební rozpočet'!G8</f>
        <v>16.02.2025</v>
      </c>
    </row>
    <row r="11" spans="1:9" ht="14.4" x14ac:dyDescent="0.3">
      <c r="A11" s="110"/>
      <c r="B11" s="104"/>
      <c r="C11" s="104"/>
      <c r="D11" s="104"/>
      <c r="E11" s="104"/>
      <c r="F11" s="104"/>
      <c r="G11" s="104"/>
      <c r="H11" s="104"/>
      <c r="I11" s="113"/>
    </row>
    <row r="12" spans="1:9" ht="22.8" x14ac:dyDescent="0.3">
      <c r="A12" s="114" t="s">
        <v>272</v>
      </c>
      <c r="B12" s="114"/>
      <c r="C12" s="114"/>
      <c r="D12" s="114"/>
      <c r="E12" s="114"/>
      <c r="F12" s="114"/>
      <c r="G12" s="114"/>
      <c r="H12" s="114"/>
      <c r="I12" s="114"/>
    </row>
    <row r="13" spans="1:9" ht="26.25" customHeight="1" x14ac:dyDescent="0.3">
      <c r="A13" s="52" t="s">
        <v>273</v>
      </c>
      <c r="B13" s="115" t="s">
        <v>274</v>
      </c>
      <c r="C13" s="116"/>
      <c r="D13" s="53" t="s">
        <v>275</v>
      </c>
      <c r="E13" s="115" t="s">
        <v>276</v>
      </c>
      <c r="F13" s="116"/>
      <c r="G13" s="53" t="s">
        <v>277</v>
      </c>
      <c r="H13" s="115" t="s">
        <v>278</v>
      </c>
      <c r="I13" s="116"/>
    </row>
    <row r="14" spans="1:9" ht="15.6" x14ac:dyDescent="0.3">
      <c r="A14" s="54" t="s">
        <v>279</v>
      </c>
      <c r="B14" s="55" t="s">
        <v>280</v>
      </c>
      <c r="C14" s="56">
        <f>SUM('Stavební rozpočet'!AB12:AB79)</f>
        <v>0</v>
      </c>
      <c r="D14" s="123" t="s">
        <v>281</v>
      </c>
      <c r="E14" s="124"/>
      <c r="F14" s="56">
        <f>VORN!I15</f>
        <v>0</v>
      </c>
      <c r="G14" s="123" t="s">
        <v>282</v>
      </c>
      <c r="H14" s="124"/>
      <c r="I14" s="57">
        <f>VORN!I21</f>
        <v>0</v>
      </c>
    </row>
    <row r="15" spans="1:9" ht="15.6" x14ac:dyDescent="0.3">
      <c r="A15" s="58" t="s">
        <v>51</v>
      </c>
      <c r="B15" s="55" t="s">
        <v>36</v>
      </c>
      <c r="C15" s="56">
        <f>SUM('Stavební rozpočet'!AC12:AC79)</f>
        <v>0</v>
      </c>
      <c r="D15" s="123" t="s">
        <v>283</v>
      </c>
      <c r="E15" s="124"/>
      <c r="F15" s="56">
        <f>VORN!I16</f>
        <v>0</v>
      </c>
      <c r="G15" s="123" t="s">
        <v>284</v>
      </c>
      <c r="H15" s="124"/>
      <c r="I15" s="57">
        <f>VORN!I22</f>
        <v>0</v>
      </c>
    </row>
    <row r="16" spans="1:9" ht="15.6" x14ac:dyDescent="0.3">
      <c r="A16" s="54" t="s">
        <v>285</v>
      </c>
      <c r="B16" s="55" t="s">
        <v>280</v>
      </c>
      <c r="C16" s="56">
        <f>SUM('Stavební rozpočet'!AD12:AD79)</f>
        <v>0</v>
      </c>
      <c r="D16" s="123" t="s">
        <v>286</v>
      </c>
      <c r="E16" s="124"/>
      <c r="F16" s="56">
        <f>VORN!I17</f>
        <v>0</v>
      </c>
      <c r="G16" s="123" t="s">
        <v>287</v>
      </c>
      <c r="H16" s="124"/>
      <c r="I16" s="57">
        <f>VORN!I23</f>
        <v>0</v>
      </c>
    </row>
    <row r="17" spans="1:9" ht="15.6" x14ac:dyDescent="0.3">
      <c r="A17" s="58" t="s">
        <v>51</v>
      </c>
      <c r="B17" s="55" t="s">
        <v>36</v>
      </c>
      <c r="C17" s="56">
        <f>SUM('Stavební rozpočet'!AE12:AE79)</f>
        <v>0</v>
      </c>
      <c r="D17" s="123" t="s">
        <v>51</v>
      </c>
      <c r="E17" s="124"/>
      <c r="F17" s="57" t="s">
        <v>51</v>
      </c>
      <c r="G17" s="123" t="s">
        <v>288</v>
      </c>
      <c r="H17" s="124"/>
      <c r="I17" s="57">
        <f>VORN!I24</f>
        <v>0</v>
      </c>
    </row>
    <row r="18" spans="1:9" ht="15.6" x14ac:dyDescent="0.3">
      <c r="A18" s="54" t="s">
        <v>289</v>
      </c>
      <c r="B18" s="55" t="s">
        <v>280</v>
      </c>
      <c r="C18" s="56">
        <f>SUM('Stavební rozpočet'!AF12:AF79)</f>
        <v>0</v>
      </c>
      <c r="D18" s="123" t="s">
        <v>51</v>
      </c>
      <c r="E18" s="124"/>
      <c r="F18" s="57" t="s">
        <v>51</v>
      </c>
      <c r="G18" s="123" t="s">
        <v>290</v>
      </c>
      <c r="H18" s="124"/>
      <c r="I18" s="57">
        <f>VORN!I25</f>
        <v>0</v>
      </c>
    </row>
    <row r="19" spans="1:9" ht="15.6" x14ac:dyDescent="0.3">
      <c r="A19" s="58" t="s">
        <v>51</v>
      </c>
      <c r="B19" s="55" t="s">
        <v>36</v>
      </c>
      <c r="C19" s="56">
        <f>SUM('Stavební rozpočet'!AG12:AG79)</f>
        <v>0</v>
      </c>
      <c r="D19" s="123" t="s">
        <v>51</v>
      </c>
      <c r="E19" s="124"/>
      <c r="F19" s="57" t="s">
        <v>51</v>
      </c>
      <c r="G19" s="123" t="s">
        <v>291</v>
      </c>
      <c r="H19" s="124"/>
      <c r="I19" s="57">
        <f>VORN!I26</f>
        <v>0</v>
      </c>
    </row>
    <row r="20" spans="1:9" ht="15.6" x14ac:dyDescent="0.3">
      <c r="A20" s="117" t="s">
        <v>292</v>
      </c>
      <c r="B20" s="118"/>
      <c r="C20" s="56">
        <f>SUM('Stavební rozpočet'!AH12:AH79)</f>
        <v>0</v>
      </c>
      <c r="D20" s="123" t="s">
        <v>51</v>
      </c>
      <c r="E20" s="124"/>
      <c r="F20" s="57" t="s">
        <v>51</v>
      </c>
      <c r="G20" s="123" t="s">
        <v>51</v>
      </c>
      <c r="H20" s="124"/>
      <c r="I20" s="57" t="s">
        <v>51</v>
      </c>
    </row>
    <row r="21" spans="1:9" ht="15.6" x14ac:dyDescent="0.3">
      <c r="A21" s="119" t="s">
        <v>293</v>
      </c>
      <c r="B21" s="120"/>
      <c r="C21" s="59">
        <f>SUM('Stavební rozpočet'!Z12:Z79)</f>
        <v>0</v>
      </c>
      <c r="D21" s="125" t="s">
        <v>51</v>
      </c>
      <c r="E21" s="126"/>
      <c r="F21" s="60" t="s">
        <v>51</v>
      </c>
      <c r="G21" s="125" t="s">
        <v>51</v>
      </c>
      <c r="H21" s="126"/>
      <c r="I21" s="60" t="s">
        <v>51</v>
      </c>
    </row>
    <row r="22" spans="1:9" ht="16.5" customHeight="1" x14ac:dyDescent="0.3">
      <c r="A22" s="121" t="s">
        <v>294</v>
      </c>
      <c r="B22" s="122"/>
      <c r="C22" s="61">
        <f>ROUND(SUM(C14:C21),0)</f>
        <v>0</v>
      </c>
      <c r="D22" s="127" t="s">
        <v>295</v>
      </c>
      <c r="E22" s="122"/>
      <c r="F22" s="61">
        <f>SUM(F14:F21)</f>
        <v>0</v>
      </c>
      <c r="G22" s="127" t="s">
        <v>296</v>
      </c>
      <c r="H22" s="122"/>
      <c r="I22" s="61">
        <f>SUM(I14:I21)</f>
        <v>0</v>
      </c>
    </row>
    <row r="23" spans="1:9" ht="15.6" x14ac:dyDescent="0.3">
      <c r="D23" s="117" t="s">
        <v>297</v>
      </c>
      <c r="E23" s="118"/>
      <c r="F23" s="62">
        <v>0</v>
      </c>
      <c r="G23" s="128" t="s">
        <v>298</v>
      </c>
      <c r="H23" s="118"/>
      <c r="I23" s="56">
        <v>0</v>
      </c>
    </row>
    <row r="24" spans="1:9" ht="15.6" x14ac:dyDescent="0.3">
      <c r="G24" s="117" t="s">
        <v>299</v>
      </c>
      <c r="H24" s="118"/>
      <c r="I24" s="59">
        <f>vorn_sum</f>
        <v>0</v>
      </c>
    </row>
    <row r="25" spans="1:9" ht="15.6" x14ac:dyDescent="0.3">
      <c r="G25" s="117" t="s">
        <v>300</v>
      </c>
      <c r="H25" s="118"/>
      <c r="I25" s="61">
        <v>0</v>
      </c>
    </row>
    <row r="27" spans="1:9" ht="15.6" x14ac:dyDescent="0.3">
      <c r="A27" s="129" t="s">
        <v>301</v>
      </c>
      <c r="B27" s="130"/>
      <c r="C27" s="63">
        <f>ROUND(SUM('Stavební rozpočet'!AJ12:AJ79),0)</f>
        <v>0</v>
      </c>
    </row>
    <row r="28" spans="1:9" ht="15.6" x14ac:dyDescent="0.3">
      <c r="A28" s="131" t="s">
        <v>302</v>
      </c>
      <c r="B28" s="132"/>
      <c r="C28" s="64">
        <f>ROUND(SUM('Stavební rozpočet'!AK12:AK79)+(F22+I22+F23+I23+I24+I25),0)</f>
        <v>0</v>
      </c>
      <c r="D28" s="133" t="s">
        <v>303</v>
      </c>
      <c r="E28" s="130"/>
      <c r="F28" s="63">
        <f>ROUND(C28*(12/100),2)</f>
        <v>0</v>
      </c>
      <c r="G28" s="133" t="s">
        <v>304</v>
      </c>
      <c r="H28" s="130"/>
      <c r="I28" s="63">
        <f>ROUND(SUM(C27:C29),0)</f>
        <v>0</v>
      </c>
    </row>
    <row r="29" spans="1:9" ht="15.6" x14ac:dyDescent="0.3">
      <c r="A29" s="131" t="s">
        <v>305</v>
      </c>
      <c r="B29" s="132"/>
      <c r="C29" s="64">
        <f>ROUND(SUM('Stavební rozpočet'!AL12:AL79),0)</f>
        <v>0</v>
      </c>
      <c r="D29" s="134" t="s">
        <v>306</v>
      </c>
      <c r="E29" s="132"/>
      <c r="F29" s="64">
        <f>ROUND(C29*(21/100),2)</f>
        <v>0</v>
      </c>
      <c r="G29" s="134" t="s">
        <v>307</v>
      </c>
      <c r="H29" s="132"/>
      <c r="I29" s="64">
        <f>ROUND(SUM(F28:F29)+I28,0)</f>
        <v>0</v>
      </c>
    </row>
    <row r="31" spans="1:9" x14ac:dyDescent="0.3">
      <c r="A31" s="135" t="s">
        <v>308</v>
      </c>
      <c r="B31" s="136"/>
      <c r="C31" s="137"/>
      <c r="D31" s="144" t="s">
        <v>309</v>
      </c>
      <c r="E31" s="136"/>
      <c r="F31" s="137"/>
      <c r="G31" s="144" t="s">
        <v>310</v>
      </c>
      <c r="H31" s="136"/>
      <c r="I31" s="137"/>
    </row>
    <row r="32" spans="1:9" x14ac:dyDescent="0.3">
      <c r="A32" s="138" t="s">
        <v>51</v>
      </c>
      <c r="B32" s="139"/>
      <c r="C32" s="140"/>
      <c r="D32" s="145" t="s">
        <v>51</v>
      </c>
      <c r="E32" s="139"/>
      <c r="F32" s="140"/>
      <c r="G32" s="145" t="s">
        <v>51</v>
      </c>
      <c r="H32" s="139"/>
      <c r="I32" s="140"/>
    </row>
    <row r="33" spans="1:9" x14ac:dyDescent="0.3">
      <c r="A33" s="138" t="s">
        <v>51</v>
      </c>
      <c r="B33" s="139"/>
      <c r="C33" s="140"/>
      <c r="D33" s="145" t="s">
        <v>51</v>
      </c>
      <c r="E33" s="139"/>
      <c r="F33" s="140"/>
      <c r="G33" s="145" t="s">
        <v>51</v>
      </c>
      <c r="H33" s="139"/>
      <c r="I33" s="140"/>
    </row>
    <row r="34" spans="1:9" x14ac:dyDescent="0.3">
      <c r="A34" s="138" t="s">
        <v>51</v>
      </c>
      <c r="B34" s="139"/>
      <c r="C34" s="140"/>
      <c r="D34" s="145" t="s">
        <v>51</v>
      </c>
      <c r="E34" s="139"/>
      <c r="F34" s="140"/>
      <c r="G34" s="145" t="s">
        <v>51</v>
      </c>
      <c r="H34" s="139"/>
      <c r="I34" s="140"/>
    </row>
    <row r="35" spans="1:9" x14ac:dyDescent="0.3">
      <c r="A35" s="141" t="s">
        <v>311</v>
      </c>
      <c r="B35" s="142"/>
      <c r="C35" s="143"/>
      <c r="D35" s="146" t="s">
        <v>311</v>
      </c>
      <c r="E35" s="142"/>
      <c r="F35" s="143"/>
      <c r="G35" s="146" t="s">
        <v>311</v>
      </c>
      <c r="H35" s="142"/>
      <c r="I35" s="143"/>
    </row>
    <row r="36" spans="1:9" ht="14.4" x14ac:dyDescent="0.3">
      <c r="A36" s="65" t="s">
        <v>261</v>
      </c>
    </row>
    <row r="37" spans="1:9" ht="13.5" customHeight="1" x14ac:dyDescent="0.3">
      <c r="A37" s="83" t="s">
        <v>262</v>
      </c>
      <c r="B37" s="78"/>
      <c r="C37" s="78"/>
      <c r="D37" s="78"/>
      <c r="E37" s="78"/>
      <c r="F37" s="78"/>
      <c r="G37" s="78"/>
      <c r="H37" s="78"/>
      <c r="I37" s="78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82"/>
  <sheetViews>
    <sheetView workbookViewId="0">
      <pane ySplit="11" topLeftCell="A12" activePane="bottomLeft" state="frozen"/>
      <selection pane="bottomLeft" sqref="A1:L1"/>
    </sheetView>
  </sheetViews>
  <sheetFormatPr defaultColWidth="12.109375" defaultRowHeight="15" customHeight="1" x14ac:dyDescent="0.3"/>
  <cols>
    <col min="1" max="1" width="4" customWidth="1"/>
    <col min="2" max="2" width="17.88671875" customWidth="1"/>
    <col min="3" max="3" width="42.88671875" customWidth="1"/>
    <col min="4" max="4" width="35.6640625" customWidth="1"/>
    <col min="5" max="5" width="4.44140625" customWidth="1"/>
    <col min="6" max="6" width="12.88671875" customWidth="1"/>
    <col min="7" max="7" width="12" customWidth="1"/>
    <col min="8" max="10" width="15.6640625" customWidth="1"/>
    <col min="11" max="12" width="11.6640625" customWidth="1"/>
    <col min="25" max="75" width="12.109375" hidden="1"/>
    <col min="76" max="76" width="78.5546875" hidden="1" customWidth="1"/>
    <col min="77" max="78" width="12.109375" hidden="1"/>
  </cols>
  <sheetData>
    <row r="1" spans="1:76" ht="54.75" customHeigh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4" x14ac:dyDescent="0.3">
      <c r="A2" s="75" t="s">
        <v>1</v>
      </c>
      <c r="B2" s="76"/>
      <c r="C2" s="84" t="s">
        <v>2</v>
      </c>
      <c r="D2" s="85"/>
      <c r="E2" s="76" t="s">
        <v>3</v>
      </c>
      <c r="F2" s="76"/>
      <c r="G2" s="76" t="s">
        <v>4</v>
      </c>
      <c r="H2" s="82" t="s">
        <v>5</v>
      </c>
      <c r="I2" s="82" t="s">
        <v>6</v>
      </c>
      <c r="J2" s="76"/>
      <c r="K2" s="76"/>
      <c r="L2" s="87"/>
    </row>
    <row r="3" spans="1:76" ht="14.4" x14ac:dyDescent="0.3">
      <c r="A3" s="77"/>
      <c r="B3" s="78"/>
      <c r="C3" s="86"/>
      <c r="D3" s="86"/>
      <c r="E3" s="78"/>
      <c r="F3" s="78"/>
      <c r="G3" s="78"/>
      <c r="H3" s="78"/>
      <c r="I3" s="78"/>
      <c r="J3" s="78"/>
      <c r="K3" s="78"/>
      <c r="L3" s="88"/>
    </row>
    <row r="4" spans="1:76" ht="14.4" x14ac:dyDescent="0.3">
      <c r="A4" s="79" t="s">
        <v>7</v>
      </c>
      <c r="B4" s="78"/>
      <c r="C4" s="83" t="s">
        <v>8</v>
      </c>
      <c r="D4" s="78"/>
      <c r="E4" s="78" t="s">
        <v>9</v>
      </c>
      <c r="F4" s="78"/>
      <c r="G4" s="78"/>
      <c r="H4" s="83" t="s">
        <v>10</v>
      </c>
      <c r="I4" s="83" t="s">
        <v>11</v>
      </c>
      <c r="J4" s="78"/>
      <c r="K4" s="78"/>
      <c r="L4" s="88"/>
    </row>
    <row r="5" spans="1:76" ht="14.4" x14ac:dyDescent="0.3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88"/>
    </row>
    <row r="6" spans="1:76" ht="14.4" x14ac:dyDescent="0.3">
      <c r="A6" s="79" t="s">
        <v>12</v>
      </c>
      <c r="B6" s="78"/>
      <c r="C6" s="83" t="s">
        <v>13</v>
      </c>
      <c r="D6" s="78"/>
      <c r="E6" s="78" t="s">
        <v>14</v>
      </c>
      <c r="F6" s="78"/>
      <c r="G6" s="78"/>
      <c r="H6" s="83" t="s">
        <v>15</v>
      </c>
      <c r="I6" s="78" t="s">
        <v>16</v>
      </c>
      <c r="J6" s="78"/>
      <c r="K6" s="78"/>
      <c r="L6" s="88"/>
    </row>
    <row r="7" spans="1:76" ht="14.4" x14ac:dyDescent="0.3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88"/>
    </row>
    <row r="8" spans="1:76" ht="14.4" x14ac:dyDescent="0.3">
      <c r="A8" s="79" t="s">
        <v>17</v>
      </c>
      <c r="B8" s="78"/>
      <c r="C8" s="83" t="s">
        <v>18</v>
      </c>
      <c r="D8" s="78"/>
      <c r="E8" s="78" t="s">
        <v>19</v>
      </c>
      <c r="F8" s="78"/>
      <c r="G8" s="78" t="s">
        <v>20</v>
      </c>
      <c r="H8" s="83" t="s">
        <v>21</v>
      </c>
      <c r="I8" s="83" t="s">
        <v>11</v>
      </c>
      <c r="J8" s="78"/>
      <c r="K8" s="78"/>
      <c r="L8" s="88"/>
    </row>
    <row r="9" spans="1:76" ht="14.4" x14ac:dyDescent="0.3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9"/>
    </row>
    <row r="10" spans="1:76" ht="14.4" x14ac:dyDescent="0.3">
      <c r="A10" s="5" t="s">
        <v>22</v>
      </c>
      <c r="B10" s="6" t="s">
        <v>23</v>
      </c>
      <c r="C10" s="90" t="s">
        <v>24</v>
      </c>
      <c r="D10" s="91"/>
      <c r="E10" s="6" t="s">
        <v>25</v>
      </c>
      <c r="F10" s="7" t="s">
        <v>26</v>
      </c>
      <c r="G10" s="8" t="s">
        <v>27</v>
      </c>
      <c r="H10" s="94" t="s">
        <v>28</v>
      </c>
      <c r="I10" s="95"/>
      <c r="J10" s="96"/>
      <c r="K10" s="97" t="s">
        <v>29</v>
      </c>
      <c r="L10" s="98"/>
      <c r="BK10" s="9" t="s">
        <v>30</v>
      </c>
      <c r="BL10" s="10" t="s">
        <v>31</v>
      </c>
      <c r="BW10" s="10" t="s">
        <v>32</v>
      </c>
    </row>
    <row r="11" spans="1:76" ht="14.4" x14ac:dyDescent="0.3">
      <c r="A11" s="11" t="s">
        <v>18</v>
      </c>
      <c r="B11" s="12" t="s">
        <v>18</v>
      </c>
      <c r="C11" s="92" t="s">
        <v>33</v>
      </c>
      <c r="D11" s="93"/>
      <c r="E11" s="12" t="s">
        <v>18</v>
      </c>
      <c r="F11" s="12" t="s">
        <v>18</v>
      </c>
      <c r="G11" s="13" t="s">
        <v>34</v>
      </c>
      <c r="H11" s="14" t="s">
        <v>35</v>
      </c>
      <c r="I11" s="15" t="s">
        <v>36</v>
      </c>
      <c r="J11" s="16" t="s">
        <v>37</v>
      </c>
      <c r="K11" s="17" t="s">
        <v>38</v>
      </c>
      <c r="L11" s="15" t="s">
        <v>37</v>
      </c>
      <c r="Z11" s="9" t="s">
        <v>39</v>
      </c>
      <c r="AA11" s="9" t="s">
        <v>40</v>
      </c>
      <c r="AB11" s="9" t="s">
        <v>41</v>
      </c>
      <c r="AC11" s="9" t="s">
        <v>42</v>
      </c>
      <c r="AD11" s="9" t="s">
        <v>43</v>
      </c>
      <c r="AE11" s="9" t="s">
        <v>44</v>
      </c>
      <c r="AF11" s="9" t="s">
        <v>45</v>
      </c>
      <c r="AG11" s="9" t="s">
        <v>46</v>
      </c>
      <c r="AH11" s="9" t="s">
        <v>47</v>
      </c>
      <c r="BH11" s="9" t="s">
        <v>48</v>
      </c>
      <c r="BI11" s="9" t="s">
        <v>49</v>
      </c>
      <c r="BJ11" s="9" t="s">
        <v>50</v>
      </c>
    </row>
    <row r="12" spans="1:76" ht="14.4" x14ac:dyDescent="0.3">
      <c r="A12" s="18" t="s">
        <v>51</v>
      </c>
      <c r="B12" s="19" t="s">
        <v>52</v>
      </c>
      <c r="C12" s="99" t="s">
        <v>53</v>
      </c>
      <c r="D12" s="100"/>
      <c r="E12" s="20" t="s">
        <v>18</v>
      </c>
      <c r="F12" s="20" t="s">
        <v>18</v>
      </c>
      <c r="G12" s="20" t="s">
        <v>18</v>
      </c>
      <c r="H12" s="21">
        <f>SUM(H13:H14)</f>
        <v>0</v>
      </c>
      <c r="I12" s="21">
        <f>SUM(I13:I14)</f>
        <v>0</v>
      </c>
      <c r="J12" s="21">
        <f>SUM(J13:J14)</f>
        <v>0</v>
      </c>
      <c r="K12" s="22" t="s">
        <v>51</v>
      </c>
      <c r="L12" s="23">
        <f>SUM(L13:L14)</f>
        <v>0.24050000000000002</v>
      </c>
      <c r="AI12" s="9" t="s">
        <v>51</v>
      </c>
      <c r="AS12" s="1">
        <f>SUM(AJ13:AJ14)</f>
        <v>0</v>
      </c>
      <c r="AT12" s="1">
        <f>SUM(AK13:AK14)</f>
        <v>0</v>
      </c>
      <c r="AU12" s="1">
        <f>SUM(AL13:AL14)</f>
        <v>0</v>
      </c>
    </row>
    <row r="13" spans="1:76" ht="14.4" x14ac:dyDescent="0.3">
      <c r="A13" s="2" t="s">
        <v>54</v>
      </c>
      <c r="B13" s="3" t="s">
        <v>55</v>
      </c>
      <c r="C13" s="83" t="s">
        <v>56</v>
      </c>
      <c r="D13" s="78"/>
      <c r="E13" s="3" t="s">
        <v>57</v>
      </c>
      <c r="F13" s="24">
        <v>30</v>
      </c>
      <c r="G13" s="24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4">
        <v>6.4900000000000001E-3</v>
      </c>
      <c r="L13" s="25">
        <f>F13*K13</f>
        <v>0.19470000000000001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9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12</v>
      </c>
      <c r="AO13" s="24">
        <f>G13*0.17671875</f>
        <v>0</v>
      </c>
      <c r="AP13" s="24">
        <f>G13*(1-0.17671875)</f>
        <v>0</v>
      </c>
      <c r="AQ13" s="26" t="s">
        <v>54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58</v>
      </c>
      <c r="AZ13" s="26" t="s">
        <v>59</v>
      </c>
      <c r="BA13" s="9" t="s">
        <v>60</v>
      </c>
      <c r="BC13" s="24">
        <f>AW13+AX13</f>
        <v>0</v>
      </c>
      <c r="BD13" s="24">
        <f>G13/(100-BE13)*100</f>
        <v>0</v>
      </c>
      <c r="BE13" s="24">
        <v>0</v>
      </c>
      <c r="BF13" s="24">
        <f>L13</f>
        <v>0.19470000000000001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61</v>
      </c>
      <c r="BW13" s="24">
        <v>12</v>
      </c>
      <c r="BX13" s="4" t="s">
        <v>56</v>
      </c>
    </row>
    <row r="14" spans="1:76" ht="14.4" x14ac:dyDescent="0.3">
      <c r="A14" s="2" t="s">
        <v>61</v>
      </c>
      <c r="B14" s="3" t="s">
        <v>62</v>
      </c>
      <c r="C14" s="83" t="s">
        <v>63</v>
      </c>
      <c r="D14" s="78"/>
      <c r="E14" s="3" t="s">
        <v>57</v>
      </c>
      <c r="F14" s="24">
        <v>10</v>
      </c>
      <c r="G14" s="24">
        <v>0</v>
      </c>
      <c r="H14" s="24">
        <f>ROUND(F14*AO14,2)</f>
        <v>0</v>
      </c>
      <c r="I14" s="24">
        <f>ROUND(F14*AP14,2)</f>
        <v>0</v>
      </c>
      <c r="J14" s="24">
        <f>ROUND(F14*G14,2)</f>
        <v>0</v>
      </c>
      <c r="K14" s="24">
        <v>4.5799999999999999E-3</v>
      </c>
      <c r="L14" s="25">
        <f>F14*K14</f>
        <v>4.58E-2</v>
      </c>
      <c r="Z14" s="24">
        <f>ROUND(IF(AQ14="5",BJ14,0),2)</f>
        <v>0</v>
      </c>
      <c r="AB14" s="24">
        <f>ROUND(IF(AQ14="1",BH14,0),2)</f>
        <v>0</v>
      </c>
      <c r="AC14" s="24">
        <f>ROUND(IF(AQ14="1",BI14,0),2)</f>
        <v>0</v>
      </c>
      <c r="AD14" s="24">
        <f>ROUND(IF(AQ14="7",BH14,0),2)</f>
        <v>0</v>
      </c>
      <c r="AE14" s="24">
        <f>ROUND(IF(AQ14="7",BI14,0),2)</f>
        <v>0</v>
      </c>
      <c r="AF14" s="24">
        <f>ROUND(IF(AQ14="2",BH14,0),2)</f>
        <v>0</v>
      </c>
      <c r="AG14" s="24">
        <f>ROUND(IF(AQ14="2",BI14,0),2)</f>
        <v>0</v>
      </c>
      <c r="AH14" s="24">
        <f>ROUND(IF(AQ14="0",BJ14,0),2)</f>
        <v>0</v>
      </c>
      <c r="AI14" s="9" t="s">
        <v>51</v>
      </c>
      <c r="AJ14" s="24">
        <f>IF(AN14=0,J14,0)</f>
        <v>0</v>
      </c>
      <c r="AK14" s="24">
        <f>IF(AN14=12,J14,0)</f>
        <v>0</v>
      </c>
      <c r="AL14" s="24">
        <f>IF(AN14=21,J14,0)</f>
        <v>0</v>
      </c>
      <c r="AN14" s="24">
        <v>12</v>
      </c>
      <c r="AO14" s="24">
        <f>G14*0.1224375</f>
        <v>0</v>
      </c>
      <c r="AP14" s="24">
        <f>G14*(1-0.1224375)</f>
        <v>0</v>
      </c>
      <c r="AQ14" s="26" t="s">
        <v>54</v>
      </c>
      <c r="AV14" s="24">
        <f>ROUND(AW14+AX14,2)</f>
        <v>0</v>
      </c>
      <c r="AW14" s="24">
        <f>ROUND(F14*AO14,2)</f>
        <v>0</v>
      </c>
      <c r="AX14" s="24">
        <f>ROUND(F14*AP14,2)</f>
        <v>0</v>
      </c>
      <c r="AY14" s="26" t="s">
        <v>58</v>
      </c>
      <c r="AZ14" s="26" t="s">
        <v>59</v>
      </c>
      <c r="BA14" s="9" t="s">
        <v>60</v>
      </c>
      <c r="BC14" s="24">
        <f>AW14+AX14</f>
        <v>0</v>
      </c>
      <c r="BD14" s="24">
        <f>G14/(100-BE14)*100</f>
        <v>0</v>
      </c>
      <c r="BE14" s="24">
        <v>0</v>
      </c>
      <c r="BF14" s="24">
        <f>L14</f>
        <v>4.58E-2</v>
      </c>
      <c r="BH14" s="24">
        <f>F14*AO14</f>
        <v>0</v>
      </c>
      <c r="BI14" s="24">
        <f>F14*AP14</f>
        <v>0</v>
      </c>
      <c r="BJ14" s="24">
        <f>F14*G14</f>
        <v>0</v>
      </c>
      <c r="BK14" s="24"/>
      <c r="BL14" s="24">
        <v>61</v>
      </c>
      <c r="BW14" s="24">
        <v>12</v>
      </c>
      <c r="BX14" s="4" t="s">
        <v>63</v>
      </c>
    </row>
    <row r="15" spans="1:76" ht="14.4" x14ac:dyDescent="0.3">
      <c r="A15" s="27" t="s">
        <v>51</v>
      </c>
      <c r="B15" s="28" t="s">
        <v>64</v>
      </c>
      <c r="C15" s="101" t="s">
        <v>65</v>
      </c>
      <c r="D15" s="102"/>
      <c r="E15" s="29" t="s">
        <v>18</v>
      </c>
      <c r="F15" s="29" t="s">
        <v>18</v>
      </c>
      <c r="G15" s="29" t="s">
        <v>18</v>
      </c>
      <c r="H15" s="1">
        <f>SUM(H16:H21)</f>
        <v>0</v>
      </c>
      <c r="I15" s="1">
        <f>SUM(I16:I21)</f>
        <v>0</v>
      </c>
      <c r="J15" s="1">
        <f>SUM(J16:J21)</f>
        <v>0</v>
      </c>
      <c r="K15" s="9" t="s">
        <v>51</v>
      </c>
      <c r="L15" s="30">
        <f>SUM(L16:L21)</f>
        <v>2.7990000000000001E-2</v>
      </c>
      <c r="AI15" s="9" t="s">
        <v>51</v>
      </c>
      <c r="AS15" s="1">
        <f>SUM(AJ16:AJ21)</f>
        <v>0</v>
      </c>
      <c r="AT15" s="1">
        <f>SUM(AK16:AK21)</f>
        <v>0</v>
      </c>
      <c r="AU15" s="1">
        <f>SUM(AL16:AL21)</f>
        <v>0</v>
      </c>
    </row>
    <row r="16" spans="1:76" ht="14.4" x14ac:dyDescent="0.3">
      <c r="A16" s="2" t="s">
        <v>66</v>
      </c>
      <c r="B16" s="3" t="s">
        <v>67</v>
      </c>
      <c r="C16" s="83" t="s">
        <v>68</v>
      </c>
      <c r="D16" s="78"/>
      <c r="E16" s="3" t="s">
        <v>57</v>
      </c>
      <c r="F16" s="24">
        <v>30</v>
      </c>
      <c r="G16" s="24">
        <v>0</v>
      </c>
      <c r="H16" s="24">
        <f t="shared" ref="H16:H21" si="0">ROUND(F16*AO16,2)</f>
        <v>0</v>
      </c>
      <c r="I16" s="24">
        <f t="shared" ref="I16:I21" si="1">ROUND(F16*AP16,2)</f>
        <v>0</v>
      </c>
      <c r="J16" s="24">
        <f t="shared" ref="J16:J21" si="2">ROUND(F16*G16,2)</f>
        <v>0</v>
      </c>
      <c r="K16" s="24">
        <v>6.8000000000000005E-4</v>
      </c>
      <c r="L16" s="25">
        <f t="shared" ref="L16:L21" si="3">F16*K16</f>
        <v>2.0400000000000001E-2</v>
      </c>
      <c r="Z16" s="24">
        <f t="shared" ref="Z16:Z21" si="4">ROUND(IF(AQ16="5",BJ16,0),2)</f>
        <v>0</v>
      </c>
      <c r="AB16" s="24">
        <f t="shared" ref="AB16:AB21" si="5">ROUND(IF(AQ16="1",BH16,0),2)</f>
        <v>0</v>
      </c>
      <c r="AC16" s="24">
        <f t="shared" ref="AC16:AC21" si="6">ROUND(IF(AQ16="1",BI16,0),2)</f>
        <v>0</v>
      </c>
      <c r="AD16" s="24">
        <f t="shared" ref="AD16:AD21" si="7">ROUND(IF(AQ16="7",BH16,0),2)</f>
        <v>0</v>
      </c>
      <c r="AE16" s="24">
        <f t="shared" ref="AE16:AE21" si="8">ROUND(IF(AQ16="7",BI16,0),2)</f>
        <v>0</v>
      </c>
      <c r="AF16" s="24">
        <f t="shared" ref="AF16:AF21" si="9">ROUND(IF(AQ16="2",BH16,0),2)</f>
        <v>0</v>
      </c>
      <c r="AG16" s="24">
        <f t="shared" ref="AG16:AG21" si="10">ROUND(IF(AQ16="2",BI16,0),2)</f>
        <v>0</v>
      </c>
      <c r="AH16" s="24">
        <f t="shared" ref="AH16:AH21" si="11">ROUND(IF(AQ16="0",BJ16,0),2)</f>
        <v>0</v>
      </c>
      <c r="AI16" s="9" t="s">
        <v>51</v>
      </c>
      <c r="AJ16" s="24">
        <f t="shared" ref="AJ16:AJ21" si="12">IF(AN16=0,J16,0)</f>
        <v>0</v>
      </c>
      <c r="AK16" s="24">
        <f t="shared" ref="AK16:AK21" si="13">IF(AN16=12,J16,0)</f>
        <v>0</v>
      </c>
      <c r="AL16" s="24">
        <f t="shared" ref="AL16:AL21" si="14">IF(AN16=21,J16,0)</f>
        <v>0</v>
      </c>
      <c r="AN16" s="24">
        <v>12</v>
      </c>
      <c r="AO16" s="24">
        <f>G16*0.166948148</f>
        <v>0</v>
      </c>
      <c r="AP16" s="24">
        <f>G16*(1-0.166948148)</f>
        <v>0</v>
      </c>
      <c r="AQ16" s="26" t="s">
        <v>69</v>
      </c>
      <c r="AV16" s="24">
        <f t="shared" ref="AV16:AV21" si="15">ROUND(AW16+AX16,2)</f>
        <v>0</v>
      </c>
      <c r="AW16" s="24">
        <f t="shared" ref="AW16:AW21" si="16">ROUND(F16*AO16,2)</f>
        <v>0</v>
      </c>
      <c r="AX16" s="24">
        <f t="shared" ref="AX16:AX21" si="17">ROUND(F16*AP16,2)</f>
        <v>0</v>
      </c>
      <c r="AY16" s="26" t="s">
        <v>70</v>
      </c>
      <c r="AZ16" s="26" t="s">
        <v>71</v>
      </c>
      <c r="BA16" s="9" t="s">
        <v>60</v>
      </c>
      <c r="BC16" s="24">
        <f t="shared" ref="BC16:BC21" si="18">AW16+AX16</f>
        <v>0</v>
      </c>
      <c r="BD16" s="24">
        <f t="shared" ref="BD16:BD21" si="19">G16/(100-BE16)*100</f>
        <v>0</v>
      </c>
      <c r="BE16" s="24">
        <v>0</v>
      </c>
      <c r="BF16" s="24">
        <f t="shared" ref="BF16:BF21" si="20">L16</f>
        <v>2.0400000000000001E-2</v>
      </c>
      <c r="BH16" s="24">
        <f t="shared" ref="BH16:BH21" si="21">F16*AO16</f>
        <v>0</v>
      </c>
      <c r="BI16" s="24">
        <f t="shared" ref="BI16:BI21" si="22">F16*AP16</f>
        <v>0</v>
      </c>
      <c r="BJ16" s="24">
        <f t="shared" ref="BJ16:BJ21" si="23">F16*G16</f>
        <v>0</v>
      </c>
      <c r="BK16" s="24"/>
      <c r="BL16" s="24">
        <v>713</v>
      </c>
      <c r="BW16" s="24">
        <v>12</v>
      </c>
      <c r="BX16" s="4" t="s">
        <v>68</v>
      </c>
    </row>
    <row r="17" spans="1:76" ht="14.4" x14ac:dyDescent="0.3">
      <c r="A17" s="2" t="s">
        <v>72</v>
      </c>
      <c r="B17" s="3" t="s">
        <v>73</v>
      </c>
      <c r="C17" s="83" t="s">
        <v>74</v>
      </c>
      <c r="D17" s="78"/>
      <c r="E17" s="3" t="s">
        <v>75</v>
      </c>
      <c r="F17" s="24">
        <v>104</v>
      </c>
      <c r="G17" s="24">
        <v>0</v>
      </c>
      <c r="H17" s="24">
        <f t="shared" si="0"/>
        <v>0</v>
      </c>
      <c r="I17" s="24">
        <f t="shared" si="1"/>
        <v>0</v>
      </c>
      <c r="J17" s="24">
        <f t="shared" si="2"/>
        <v>0</v>
      </c>
      <c r="K17" s="24">
        <v>4.0000000000000003E-5</v>
      </c>
      <c r="L17" s="25">
        <f t="shared" si="3"/>
        <v>4.1600000000000005E-3</v>
      </c>
      <c r="Z17" s="24">
        <f t="shared" si="4"/>
        <v>0</v>
      </c>
      <c r="AB17" s="24">
        <f t="shared" si="5"/>
        <v>0</v>
      </c>
      <c r="AC17" s="24">
        <f t="shared" si="6"/>
        <v>0</v>
      </c>
      <c r="AD17" s="24">
        <f t="shared" si="7"/>
        <v>0</v>
      </c>
      <c r="AE17" s="24">
        <f t="shared" si="8"/>
        <v>0</v>
      </c>
      <c r="AF17" s="24">
        <f t="shared" si="9"/>
        <v>0</v>
      </c>
      <c r="AG17" s="24">
        <f t="shared" si="10"/>
        <v>0</v>
      </c>
      <c r="AH17" s="24">
        <f t="shared" si="11"/>
        <v>0</v>
      </c>
      <c r="AI17" s="9" t="s">
        <v>51</v>
      </c>
      <c r="AJ17" s="24">
        <f t="shared" si="12"/>
        <v>0</v>
      </c>
      <c r="AK17" s="24">
        <f t="shared" si="13"/>
        <v>0</v>
      </c>
      <c r="AL17" s="24">
        <f t="shared" si="14"/>
        <v>0</v>
      </c>
      <c r="AN17" s="24">
        <v>12</v>
      </c>
      <c r="AO17" s="24">
        <f>G17*0.432665417</f>
        <v>0</v>
      </c>
      <c r="AP17" s="24">
        <f>G17*(1-0.432665417)</f>
        <v>0</v>
      </c>
      <c r="AQ17" s="26" t="s">
        <v>69</v>
      </c>
      <c r="AV17" s="24">
        <f t="shared" si="15"/>
        <v>0</v>
      </c>
      <c r="AW17" s="24">
        <f t="shared" si="16"/>
        <v>0</v>
      </c>
      <c r="AX17" s="24">
        <f t="shared" si="17"/>
        <v>0</v>
      </c>
      <c r="AY17" s="26" t="s">
        <v>70</v>
      </c>
      <c r="AZ17" s="26" t="s">
        <v>71</v>
      </c>
      <c r="BA17" s="9" t="s">
        <v>60</v>
      </c>
      <c r="BC17" s="24">
        <f t="shared" si="18"/>
        <v>0</v>
      </c>
      <c r="BD17" s="24">
        <f t="shared" si="19"/>
        <v>0</v>
      </c>
      <c r="BE17" s="24">
        <v>0</v>
      </c>
      <c r="BF17" s="24">
        <f t="shared" si="20"/>
        <v>4.1600000000000005E-3</v>
      </c>
      <c r="BH17" s="24">
        <f t="shared" si="21"/>
        <v>0</v>
      </c>
      <c r="BI17" s="24">
        <f t="shared" si="22"/>
        <v>0</v>
      </c>
      <c r="BJ17" s="24">
        <f t="shared" si="23"/>
        <v>0</v>
      </c>
      <c r="BK17" s="24"/>
      <c r="BL17" s="24">
        <v>713</v>
      </c>
      <c r="BW17" s="24">
        <v>12</v>
      </c>
      <c r="BX17" s="4" t="s">
        <v>74</v>
      </c>
    </row>
    <row r="18" spans="1:76" ht="14.4" x14ac:dyDescent="0.3">
      <c r="A18" s="2" t="s">
        <v>76</v>
      </c>
      <c r="B18" s="3" t="s">
        <v>77</v>
      </c>
      <c r="C18" s="83" t="s">
        <v>78</v>
      </c>
      <c r="D18" s="78"/>
      <c r="E18" s="3" t="s">
        <v>75</v>
      </c>
      <c r="F18" s="24">
        <v>22</v>
      </c>
      <c r="G18" s="24">
        <v>0</v>
      </c>
      <c r="H18" s="24">
        <f t="shared" si="0"/>
        <v>0</v>
      </c>
      <c r="I18" s="24">
        <f t="shared" si="1"/>
        <v>0</v>
      </c>
      <c r="J18" s="24">
        <f t="shared" si="2"/>
        <v>0</v>
      </c>
      <c r="K18" s="24">
        <v>4.0000000000000003E-5</v>
      </c>
      <c r="L18" s="25">
        <f t="shared" si="3"/>
        <v>8.8000000000000003E-4</v>
      </c>
      <c r="Z18" s="24">
        <f t="shared" si="4"/>
        <v>0</v>
      </c>
      <c r="AB18" s="24">
        <f t="shared" si="5"/>
        <v>0</v>
      </c>
      <c r="AC18" s="24">
        <f t="shared" si="6"/>
        <v>0</v>
      </c>
      <c r="AD18" s="24">
        <f t="shared" si="7"/>
        <v>0</v>
      </c>
      <c r="AE18" s="24">
        <f t="shared" si="8"/>
        <v>0</v>
      </c>
      <c r="AF18" s="24">
        <f t="shared" si="9"/>
        <v>0</v>
      </c>
      <c r="AG18" s="24">
        <f t="shared" si="10"/>
        <v>0</v>
      </c>
      <c r="AH18" s="24">
        <f t="shared" si="11"/>
        <v>0</v>
      </c>
      <c r="AI18" s="9" t="s">
        <v>51</v>
      </c>
      <c r="AJ18" s="24">
        <f t="shared" si="12"/>
        <v>0</v>
      </c>
      <c r="AK18" s="24">
        <f t="shared" si="13"/>
        <v>0</v>
      </c>
      <c r="AL18" s="24">
        <f t="shared" si="14"/>
        <v>0</v>
      </c>
      <c r="AN18" s="24">
        <v>12</v>
      </c>
      <c r="AO18" s="24">
        <f>G18*0.446619718</f>
        <v>0</v>
      </c>
      <c r="AP18" s="24">
        <f>G18*(1-0.446619718)</f>
        <v>0</v>
      </c>
      <c r="AQ18" s="26" t="s">
        <v>69</v>
      </c>
      <c r="AV18" s="24">
        <f t="shared" si="15"/>
        <v>0</v>
      </c>
      <c r="AW18" s="24">
        <f t="shared" si="16"/>
        <v>0</v>
      </c>
      <c r="AX18" s="24">
        <f t="shared" si="17"/>
        <v>0</v>
      </c>
      <c r="AY18" s="26" t="s">
        <v>70</v>
      </c>
      <c r="AZ18" s="26" t="s">
        <v>71</v>
      </c>
      <c r="BA18" s="9" t="s">
        <v>60</v>
      </c>
      <c r="BC18" s="24">
        <f t="shared" si="18"/>
        <v>0</v>
      </c>
      <c r="BD18" s="24">
        <f t="shared" si="19"/>
        <v>0</v>
      </c>
      <c r="BE18" s="24">
        <v>0</v>
      </c>
      <c r="BF18" s="24">
        <f t="shared" si="20"/>
        <v>8.8000000000000003E-4</v>
      </c>
      <c r="BH18" s="24">
        <f t="shared" si="21"/>
        <v>0</v>
      </c>
      <c r="BI18" s="24">
        <f t="shared" si="22"/>
        <v>0</v>
      </c>
      <c r="BJ18" s="24">
        <f t="shared" si="23"/>
        <v>0</v>
      </c>
      <c r="BK18" s="24"/>
      <c r="BL18" s="24">
        <v>713</v>
      </c>
      <c r="BW18" s="24">
        <v>12</v>
      </c>
      <c r="BX18" s="4" t="s">
        <v>78</v>
      </c>
    </row>
    <row r="19" spans="1:76" ht="14.4" x14ac:dyDescent="0.3">
      <c r="A19" s="2" t="s">
        <v>79</v>
      </c>
      <c r="B19" s="3" t="s">
        <v>80</v>
      </c>
      <c r="C19" s="83" t="s">
        <v>81</v>
      </c>
      <c r="D19" s="78"/>
      <c r="E19" s="3" t="s">
        <v>75</v>
      </c>
      <c r="F19" s="24">
        <v>2</v>
      </c>
      <c r="G19" s="24">
        <v>0</v>
      </c>
      <c r="H19" s="24">
        <f t="shared" si="0"/>
        <v>0</v>
      </c>
      <c r="I19" s="24">
        <f t="shared" si="1"/>
        <v>0</v>
      </c>
      <c r="J19" s="24">
        <f t="shared" si="2"/>
        <v>0</v>
      </c>
      <c r="K19" s="24">
        <v>5.0000000000000002E-5</v>
      </c>
      <c r="L19" s="25">
        <f t="shared" si="3"/>
        <v>1E-4</v>
      </c>
      <c r="Z19" s="24">
        <f t="shared" si="4"/>
        <v>0</v>
      </c>
      <c r="AB19" s="24">
        <f t="shared" si="5"/>
        <v>0</v>
      </c>
      <c r="AC19" s="24">
        <f t="shared" si="6"/>
        <v>0</v>
      </c>
      <c r="AD19" s="24">
        <f t="shared" si="7"/>
        <v>0</v>
      </c>
      <c r="AE19" s="24">
        <f t="shared" si="8"/>
        <v>0</v>
      </c>
      <c r="AF19" s="24">
        <f t="shared" si="9"/>
        <v>0</v>
      </c>
      <c r="AG19" s="24">
        <f t="shared" si="10"/>
        <v>0</v>
      </c>
      <c r="AH19" s="24">
        <f t="shared" si="11"/>
        <v>0</v>
      </c>
      <c r="AI19" s="9" t="s">
        <v>51</v>
      </c>
      <c r="AJ19" s="24">
        <f t="shared" si="12"/>
        <v>0</v>
      </c>
      <c r="AK19" s="24">
        <f t="shared" si="13"/>
        <v>0</v>
      </c>
      <c r="AL19" s="24">
        <f t="shared" si="14"/>
        <v>0</v>
      </c>
      <c r="AN19" s="24">
        <v>12</v>
      </c>
      <c r="AO19" s="24">
        <f>G19*0.543586626</f>
        <v>0</v>
      </c>
      <c r="AP19" s="24">
        <f>G19*(1-0.543586626)</f>
        <v>0</v>
      </c>
      <c r="AQ19" s="26" t="s">
        <v>69</v>
      </c>
      <c r="AV19" s="24">
        <f t="shared" si="15"/>
        <v>0</v>
      </c>
      <c r="AW19" s="24">
        <f t="shared" si="16"/>
        <v>0</v>
      </c>
      <c r="AX19" s="24">
        <f t="shared" si="17"/>
        <v>0</v>
      </c>
      <c r="AY19" s="26" t="s">
        <v>70</v>
      </c>
      <c r="AZ19" s="26" t="s">
        <v>71</v>
      </c>
      <c r="BA19" s="9" t="s">
        <v>60</v>
      </c>
      <c r="BC19" s="24">
        <f t="shared" si="18"/>
        <v>0</v>
      </c>
      <c r="BD19" s="24">
        <f t="shared" si="19"/>
        <v>0</v>
      </c>
      <c r="BE19" s="24">
        <v>0</v>
      </c>
      <c r="BF19" s="24">
        <f t="shared" si="20"/>
        <v>1E-4</v>
      </c>
      <c r="BH19" s="24">
        <f t="shared" si="21"/>
        <v>0</v>
      </c>
      <c r="BI19" s="24">
        <f t="shared" si="22"/>
        <v>0</v>
      </c>
      <c r="BJ19" s="24">
        <f t="shared" si="23"/>
        <v>0</v>
      </c>
      <c r="BK19" s="24"/>
      <c r="BL19" s="24">
        <v>713</v>
      </c>
      <c r="BW19" s="24">
        <v>12</v>
      </c>
      <c r="BX19" s="4" t="s">
        <v>81</v>
      </c>
    </row>
    <row r="20" spans="1:76" ht="14.4" x14ac:dyDescent="0.3">
      <c r="A20" s="2" t="s">
        <v>69</v>
      </c>
      <c r="B20" s="3" t="s">
        <v>82</v>
      </c>
      <c r="C20" s="83" t="s">
        <v>83</v>
      </c>
      <c r="D20" s="78"/>
      <c r="E20" s="3" t="s">
        <v>75</v>
      </c>
      <c r="F20" s="24">
        <v>17</v>
      </c>
      <c r="G20" s="24">
        <v>0</v>
      </c>
      <c r="H20" s="24">
        <f t="shared" si="0"/>
        <v>0</v>
      </c>
      <c r="I20" s="24">
        <f t="shared" si="1"/>
        <v>0</v>
      </c>
      <c r="J20" s="24">
        <f t="shared" si="2"/>
        <v>0</v>
      </c>
      <c r="K20" s="24">
        <v>6.9999999999999994E-5</v>
      </c>
      <c r="L20" s="25">
        <f t="shared" si="3"/>
        <v>1.1899999999999999E-3</v>
      </c>
      <c r="Z20" s="24">
        <f t="shared" si="4"/>
        <v>0</v>
      </c>
      <c r="AB20" s="24">
        <f t="shared" si="5"/>
        <v>0</v>
      </c>
      <c r="AC20" s="24">
        <f t="shared" si="6"/>
        <v>0</v>
      </c>
      <c r="AD20" s="24">
        <f t="shared" si="7"/>
        <v>0</v>
      </c>
      <c r="AE20" s="24">
        <f t="shared" si="8"/>
        <v>0</v>
      </c>
      <c r="AF20" s="24">
        <f t="shared" si="9"/>
        <v>0</v>
      </c>
      <c r="AG20" s="24">
        <f t="shared" si="10"/>
        <v>0</v>
      </c>
      <c r="AH20" s="24">
        <f t="shared" si="11"/>
        <v>0</v>
      </c>
      <c r="AI20" s="9" t="s">
        <v>51</v>
      </c>
      <c r="AJ20" s="24">
        <f t="shared" si="12"/>
        <v>0</v>
      </c>
      <c r="AK20" s="24">
        <f t="shared" si="13"/>
        <v>0</v>
      </c>
      <c r="AL20" s="24">
        <f t="shared" si="14"/>
        <v>0</v>
      </c>
      <c r="AN20" s="24">
        <v>12</v>
      </c>
      <c r="AO20" s="24">
        <f>G20*0.582888889</f>
        <v>0</v>
      </c>
      <c r="AP20" s="24">
        <f>G20*(1-0.582888889)</f>
        <v>0</v>
      </c>
      <c r="AQ20" s="26" t="s">
        <v>69</v>
      </c>
      <c r="AV20" s="24">
        <f t="shared" si="15"/>
        <v>0</v>
      </c>
      <c r="AW20" s="24">
        <f t="shared" si="16"/>
        <v>0</v>
      </c>
      <c r="AX20" s="24">
        <f t="shared" si="17"/>
        <v>0</v>
      </c>
      <c r="AY20" s="26" t="s">
        <v>70</v>
      </c>
      <c r="AZ20" s="26" t="s">
        <v>71</v>
      </c>
      <c r="BA20" s="9" t="s">
        <v>60</v>
      </c>
      <c r="BC20" s="24">
        <f t="shared" si="18"/>
        <v>0</v>
      </c>
      <c r="BD20" s="24">
        <f t="shared" si="19"/>
        <v>0</v>
      </c>
      <c r="BE20" s="24">
        <v>0</v>
      </c>
      <c r="BF20" s="24">
        <f t="shared" si="20"/>
        <v>1.1899999999999999E-3</v>
      </c>
      <c r="BH20" s="24">
        <f t="shared" si="21"/>
        <v>0</v>
      </c>
      <c r="BI20" s="24">
        <f t="shared" si="22"/>
        <v>0</v>
      </c>
      <c r="BJ20" s="24">
        <f t="shared" si="23"/>
        <v>0</v>
      </c>
      <c r="BK20" s="24"/>
      <c r="BL20" s="24">
        <v>713</v>
      </c>
      <c r="BW20" s="24">
        <v>12</v>
      </c>
      <c r="BX20" s="4" t="s">
        <v>83</v>
      </c>
    </row>
    <row r="21" spans="1:76" ht="14.4" x14ac:dyDescent="0.3">
      <c r="A21" s="2" t="s">
        <v>84</v>
      </c>
      <c r="B21" s="3" t="s">
        <v>85</v>
      </c>
      <c r="C21" s="83" t="s">
        <v>86</v>
      </c>
      <c r="D21" s="78"/>
      <c r="E21" s="3" t="s">
        <v>75</v>
      </c>
      <c r="F21" s="24">
        <v>9</v>
      </c>
      <c r="G21" s="24">
        <v>0</v>
      </c>
      <c r="H21" s="24">
        <f t="shared" si="0"/>
        <v>0</v>
      </c>
      <c r="I21" s="24">
        <f t="shared" si="1"/>
        <v>0</v>
      </c>
      <c r="J21" s="24">
        <f t="shared" si="2"/>
        <v>0</v>
      </c>
      <c r="K21" s="24">
        <v>1.3999999999999999E-4</v>
      </c>
      <c r="L21" s="25">
        <f t="shared" si="3"/>
        <v>1.2599999999999998E-3</v>
      </c>
      <c r="Z21" s="24">
        <f t="shared" si="4"/>
        <v>0</v>
      </c>
      <c r="AB21" s="24">
        <f t="shared" si="5"/>
        <v>0</v>
      </c>
      <c r="AC21" s="24">
        <f t="shared" si="6"/>
        <v>0</v>
      </c>
      <c r="AD21" s="24">
        <f t="shared" si="7"/>
        <v>0</v>
      </c>
      <c r="AE21" s="24">
        <f t="shared" si="8"/>
        <v>0</v>
      </c>
      <c r="AF21" s="24">
        <f t="shared" si="9"/>
        <v>0</v>
      </c>
      <c r="AG21" s="24">
        <f t="shared" si="10"/>
        <v>0</v>
      </c>
      <c r="AH21" s="24">
        <f t="shared" si="11"/>
        <v>0</v>
      </c>
      <c r="AI21" s="9" t="s">
        <v>51</v>
      </c>
      <c r="AJ21" s="24">
        <f t="shared" si="12"/>
        <v>0</v>
      </c>
      <c r="AK21" s="24">
        <f t="shared" si="13"/>
        <v>0</v>
      </c>
      <c r="AL21" s="24">
        <f t="shared" si="14"/>
        <v>0</v>
      </c>
      <c r="AN21" s="24">
        <v>12</v>
      </c>
      <c r="AO21" s="24">
        <f>G21*0.615098223</f>
        <v>0</v>
      </c>
      <c r="AP21" s="24">
        <f>G21*(1-0.615098223)</f>
        <v>0</v>
      </c>
      <c r="AQ21" s="26" t="s">
        <v>69</v>
      </c>
      <c r="AV21" s="24">
        <f t="shared" si="15"/>
        <v>0</v>
      </c>
      <c r="AW21" s="24">
        <f t="shared" si="16"/>
        <v>0</v>
      </c>
      <c r="AX21" s="24">
        <f t="shared" si="17"/>
        <v>0</v>
      </c>
      <c r="AY21" s="26" t="s">
        <v>70</v>
      </c>
      <c r="AZ21" s="26" t="s">
        <v>71</v>
      </c>
      <c r="BA21" s="9" t="s">
        <v>60</v>
      </c>
      <c r="BC21" s="24">
        <f t="shared" si="18"/>
        <v>0</v>
      </c>
      <c r="BD21" s="24">
        <f t="shared" si="19"/>
        <v>0</v>
      </c>
      <c r="BE21" s="24">
        <v>0</v>
      </c>
      <c r="BF21" s="24">
        <f t="shared" si="20"/>
        <v>1.2599999999999998E-3</v>
      </c>
      <c r="BH21" s="24">
        <f t="shared" si="21"/>
        <v>0</v>
      </c>
      <c r="BI21" s="24">
        <f t="shared" si="22"/>
        <v>0</v>
      </c>
      <c r="BJ21" s="24">
        <f t="shared" si="23"/>
        <v>0</v>
      </c>
      <c r="BK21" s="24"/>
      <c r="BL21" s="24">
        <v>713</v>
      </c>
      <c r="BW21" s="24">
        <v>12</v>
      </c>
      <c r="BX21" s="4" t="s">
        <v>86</v>
      </c>
    </row>
    <row r="22" spans="1:76" ht="14.4" x14ac:dyDescent="0.3">
      <c r="A22" s="27" t="s">
        <v>51</v>
      </c>
      <c r="B22" s="28" t="s">
        <v>87</v>
      </c>
      <c r="C22" s="101" t="s">
        <v>88</v>
      </c>
      <c r="D22" s="102"/>
      <c r="E22" s="29" t="s">
        <v>18</v>
      </c>
      <c r="F22" s="29" t="s">
        <v>18</v>
      </c>
      <c r="G22" s="29" t="s">
        <v>18</v>
      </c>
      <c r="H22" s="1">
        <f>SUM(H23:H29)</f>
        <v>0</v>
      </c>
      <c r="I22" s="1">
        <f>SUM(I23:I29)</f>
        <v>0</v>
      </c>
      <c r="J22" s="1">
        <f>SUM(J23:J29)</f>
        <v>0</v>
      </c>
      <c r="K22" s="9" t="s">
        <v>51</v>
      </c>
      <c r="L22" s="30">
        <f>SUM(L23:L29)</f>
        <v>0.34471000000000002</v>
      </c>
      <c r="AI22" s="9" t="s">
        <v>51</v>
      </c>
      <c r="AS22" s="1">
        <f>SUM(AJ23:AJ29)</f>
        <v>0</v>
      </c>
      <c r="AT22" s="1">
        <f>SUM(AK23:AK29)</f>
        <v>0</v>
      </c>
      <c r="AU22" s="1">
        <f>SUM(AL23:AL29)</f>
        <v>0</v>
      </c>
    </row>
    <row r="23" spans="1:76" ht="14.4" x14ac:dyDescent="0.3">
      <c r="A23" s="2" t="s">
        <v>89</v>
      </c>
      <c r="B23" s="3" t="s">
        <v>90</v>
      </c>
      <c r="C23" s="83" t="s">
        <v>91</v>
      </c>
      <c r="D23" s="78"/>
      <c r="E23" s="3" t="s">
        <v>75</v>
      </c>
      <c r="F23" s="24">
        <v>366</v>
      </c>
      <c r="G23" s="24">
        <v>0</v>
      </c>
      <c r="H23" s="24">
        <f t="shared" ref="H23:H29" si="24">ROUND(F23*AO23,2)</f>
        <v>0</v>
      </c>
      <c r="I23" s="24">
        <f t="shared" ref="I23:I29" si="25">ROUND(F23*AP23,2)</f>
        <v>0</v>
      </c>
      <c r="J23" s="24">
        <f t="shared" ref="J23:J29" si="26">ROUND(F23*G23,2)</f>
        <v>0</v>
      </c>
      <c r="K23" s="24">
        <v>7.6000000000000004E-4</v>
      </c>
      <c r="L23" s="25">
        <f t="shared" ref="L23:L29" si="27">F23*K23</f>
        <v>0.27816000000000002</v>
      </c>
      <c r="Z23" s="24">
        <f t="shared" ref="Z23:Z29" si="28">ROUND(IF(AQ23="5",BJ23,0),2)</f>
        <v>0</v>
      </c>
      <c r="AB23" s="24">
        <f t="shared" ref="AB23:AB29" si="29">ROUND(IF(AQ23="1",BH23,0),2)</f>
        <v>0</v>
      </c>
      <c r="AC23" s="24">
        <f t="shared" ref="AC23:AC29" si="30">ROUND(IF(AQ23="1",BI23,0),2)</f>
        <v>0</v>
      </c>
      <c r="AD23" s="24">
        <f t="shared" ref="AD23:AD29" si="31">ROUND(IF(AQ23="7",BH23,0),2)</f>
        <v>0</v>
      </c>
      <c r="AE23" s="24">
        <f t="shared" ref="AE23:AE29" si="32">ROUND(IF(AQ23="7",BI23,0),2)</f>
        <v>0</v>
      </c>
      <c r="AF23" s="24">
        <f t="shared" ref="AF23:AF29" si="33">ROUND(IF(AQ23="2",BH23,0),2)</f>
        <v>0</v>
      </c>
      <c r="AG23" s="24">
        <f t="shared" ref="AG23:AG29" si="34">ROUND(IF(AQ23="2",BI23,0),2)</f>
        <v>0</v>
      </c>
      <c r="AH23" s="24">
        <f t="shared" ref="AH23:AH29" si="35">ROUND(IF(AQ23="0",BJ23,0),2)</f>
        <v>0</v>
      </c>
      <c r="AI23" s="9" t="s">
        <v>51</v>
      </c>
      <c r="AJ23" s="24">
        <f t="shared" ref="AJ23:AJ29" si="36">IF(AN23=0,J23,0)</f>
        <v>0</v>
      </c>
      <c r="AK23" s="24">
        <f t="shared" ref="AK23:AK29" si="37">IF(AN23=12,J23,0)</f>
        <v>0</v>
      </c>
      <c r="AL23" s="24">
        <f t="shared" ref="AL23:AL29" si="38">IF(AN23=21,J23,0)</f>
        <v>0</v>
      </c>
      <c r="AN23" s="24">
        <v>12</v>
      </c>
      <c r="AO23" s="24">
        <f>G23*0.580630642</f>
        <v>0</v>
      </c>
      <c r="AP23" s="24">
        <f>G23*(1-0.580630642)</f>
        <v>0</v>
      </c>
      <c r="AQ23" s="26" t="s">
        <v>69</v>
      </c>
      <c r="AV23" s="24">
        <f t="shared" ref="AV23:AV29" si="39">ROUND(AW23+AX23,2)</f>
        <v>0</v>
      </c>
      <c r="AW23" s="24">
        <f t="shared" ref="AW23:AW29" si="40">ROUND(F23*AO23,2)</f>
        <v>0</v>
      </c>
      <c r="AX23" s="24">
        <f t="shared" ref="AX23:AX29" si="41">ROUND(F23*AP23,2)</f>
        <v>0</v>
      </c>
      <c r="AY23" s="26" t="s">
        <v>92</v>
      </c>
      <c r="AZ23" s="26" t="s">
        <v>93</v>
      </c>
      <c r="BA23" s="9" t="s">
        <v>60</v>
      </c>
      <c r="BC23" s="24">
        <f t="shared" ref="BC23:BC29" si="42">AW23+AX23</f>
        <v>0</v>
      </c>
      <c r="BD23" s="24">
        <f t="shared" ref="BD23:BD29" si="43">G23/(100-BE23)*100</f>
        <v>0</v>
      </c>
      <c r="BE23" s="24">
        <v>0</v>
      </c>
      <c r="BF23" s="24">
        <f t="shared" ref="BF23:BF29" si="44">L23</f>
        <v>0.27816000000000002</v>
      </c>
      <c r="BH23" s="24">
        <f t="shared" ref="BH23:BH29" si="45">F23*AO23</f>
        <v>0</v>
      </c>
      <c r="BI23" s="24">
        <f t="shared" ref="BI23:BI29" si="46">F23*AP23</f>
        <v>0</v>
      </c>
      <c r="BJ23" s="24">
        <f t="shared" ref="BJ23:BJ29" si="47">F23*G23</f>
        <v>0</v>
      </c>
      <c r="BK23" s="24"/>
      <c r="BL23" s="24">
        <v>733</v>
      </c>
      <c r="BW23" s="24">
        <v>12</v>
      </c>
      <c r="BX23" s="4" t="s">
        <v>91</v>
      </c>
    </row>
    <row r="24" spans="1:76" ht="14.4" x14ac:dyDescent="0.3">
      <c r="A24" s="2" t="s">
        <v>94</v>
      </c>
      <c r="B24" s="3" t="s">
        <v>95</v>
      </c>
      <c r="C24" s="83" t="s">
        <v>96</v>
      </c>
      <c r="D24" s="78"/>
      <c r="E24" s="3" t="s">
        <v>75</v>
      </c>
      <c r="F24" s="24">
        <v>22</v>
      </c>
      <c r="G24" s="24">
        <v>0</v>
      </c>
      <c r="H24" s="24">
        <f t="shared" si="24"/>
        <v>0</v>
      </c>
      <c r="I24" s="24">
        <f t="shared" si="25"/>
        <v>0</v>
      </c>
      <c r="J24" s="24">
        <f t="shared" si="26"/>
        <v>0</v>
      </c>
      <c r="K24" s="24">
        <v>8.8999999999999995E-4</v>
      </c>
      <c r="L24" s="25">
        <f t="shared" si="27"/>
        <v>1.958E-2</v>
      </c>
      <c r="Z24" s="24">
        <f t="shared" si="28"/>
        <v>0</v>
      </c>
      <c r="AB24" s="24">
        <f t="shared" si="29"/>
        <v>0</v>
      </c>
      <c r="AC24" s="24">
        <f t="shared" si="30"/>
        <v>0</v>
      </c>
      <c r="AD24" s="24">
        <f t="shared" si="31"/>
        <v>0</v>
      </c>
      <c r="AE24" s="24">
        <f t="shared" si="32"/>
        <v>0</v>
      </c>
      <c r="AF24" s="24">
        <f t="shared" si="33"/>
        <v>0</v>
      </c>
      <c r="AG24" s="24">
        <f t="shared" si="34"/>
        <v>0</v>
      </c>
      <c r="AH24" s="24">
        <f t="shared" si="35"/>
        <v>0</v>
      </c>
      <c r="AI24" s="9" t="s">
        <v>51</v>
      </c>
      <c r="AJ24" s="24">
        <f t="shared" si="36"/>
        <v>0</v>
      </c>
      <c r="AK24" s="24">
        <f t="shared" si="37"/>
        <v>0</v>
      </c>
      <c r="AL24" s="24">
        <f t="shared" si="38"/>
        <v>0</v>
      </c>
      <c r="AN24" s="24">
        <v>12</v>
      </c>
      <c r="AO24" s="24">
        <f>G24*0.620381818</f>
        <v>0</v>
      </c>
      <c r="AP24" s="24">
        <f>G24*(1-0.620381818)</f>
        <v>0</v>
      </c>
      <c r="AQ24" s="26" t="s">
        <v>69</v>
      </c>
      <c r="AV24" s="24">
        <f t="shared" si="39"/>
        <v>0</v>
      </c>
      <c r="AW24" s="24">
        <f t="shared" si="40"/>
        <v>0</v>
      </c>
      <c r="AX24" s="24">
        <f t="shared" si="41"/>
        <v>0</v>
      </c>
      <c r="AY24" s="26" t="s">
        <v>92</v>
      </c>
      <c r="AZ24" s="26" t="s">
        <v>93</v>
      </c>
      <c r="BA24" s="9" t="s">
        <v>60</v>
      </c>
      <c r="BC24" s="24">
        <f t="shared" si="42"/>
        <v>0</v>
      </c>
      <c r="BD24" s="24">
        <f t="shared" si="43"/>
        <v>0</v>
      </c>
      <c r="BE24" s="24">
        <v>0</v>
      </c>
      <c r="BF24" s="24">
        <f t="shared" si="44"/>
        <v>1.958E-2</v>
      </c>
      <c r="BH24" s="24">
        <f t="shared" si="45"/>
        <v>0</v>
      </c>
      <c r="BI24" s="24">
        <f t="shared" si="46"/>
        <v>0</v>
      </c>
      <c r="BJ24" s="24">
        <f t="shared" si="47"/>
        <v>0</v>
      </c>
      <c r="BK24" s="24"/>
      <c r="BL24" s="24">
        <v>733</v>
      </c>
      <c r="BW24" s="24">
        <v>12</v>
      </c>
      <c r="BX24" s="4" t="s">
        <v>96</v>
      </c>
    </row>
    <row r="25" spans="1:76" ht="14.4" x14ac:dyDescent="0.3">
      <c r="A25" s="2" t="s">
        <v>97</v>
      </c>
      <c r="B25" s="3" t="s">
        <v>98</v>
      </c>
      <c r="C25" s="83" t="s">
        <v>99</v>
      </c>
      <c r="D25" s="78"/>
      <c r="E25" s="3" t="s">
        <v>75</v>
      </c>
      <c r="F25" s="24">
        <v>2</v>
      </c>
      <c r="G25" s="24">
        <v>0</v>
      </c>
      <c r="H25" s="24">
        <f t="shared" si="24"/>
        <v>0</v>
      </c>
      <c r="I25" s="24">
        <f t="shared" si="25"/>
        <v>0</v>
      </c>
      <c r="J25" s="24">
        <f t="shared" si="26"/>
        <v>0</v>
      </c>
      <c r="K25" s="24">
        <v>1.0200000000000001E-3</v>
      </c>
      <c r="L25" s="25">
        <f t="shared" si="27"/>
        <v>2.0400000000000001E-3</v>
      </c>
      <c r="Z25" s="24">
        <f t="shared" si="28"/>
        <v>0</v>
      </c>
      <c r="AB25" s="24">
        <f t="shared" si="29"/>
        <v>0</v>
      </c>
      <c r="AC25" s="24">
        <f t="shared" si="30"/>
        <v>0</v>
      </c>
      <c r="AD25" s="24">
        <f t="shared" si="31"/>
        <v>0</v>
      </c>
      <c r="AE25" s="24">
        <f t="shared" si="32"/>
        <v>0</v>
      </c>
      <c r="AF25" s="24">
        <f t="shared" si="33"/>
        <v>0</v>
      </c>
      <c r="AG25" s="24">
        <f t="shared" si="34"/>
        <v>0</v>
      </c>
      <c r="AH25" s="24">
        <f t="shared" si="35"/>
        <v>0</v>
      </c>
      <c r="AI25" s="9" t="s">
        <v>51</v>
      </c>
      <c r="AJ25" s="24">
        <f t="shared" si="36"/>
        <v>0</v>
      </c>
      <c r="AK25" s="24">
        <f t="shared" si="37"/>
        <v>0</v>
      </c>
      <c r="AL25" s="24">
        <f t="shared" si="38"/>
        <v>0</v>
      </c>
      <c r="AN25" s="24">
        <v>12</v>
      </c>
      <c r="AO25" s="24">
        <f>G25*0.656028708</f>
        <v>0</v>
      </c>
      <c r="AP25" s="24">
        <f>G25*(1-0.656028708)</f>
        <v>0</v>
      </c>
      <c r="AQ25" s="26" t="s">
        <v>69</v>
      </c>
      <c r="AV25" s="24">
        <f t="shared" si="39"/>
        <v>0</v>
      </c>
      <c r="AW25" s="24">
        <f t="shared" si="40"/>
        <v>0</v>
      </c>
      <c r="AX25" s="24">
        <f t="shared" si="41"/>
        <v>0</v>
      </c>
      <c r="AY25" s="26" t="s">
        <v>92</v>
      </c>
      <c r="AZ25" s="26" t="s">
        <v>93</v>
      </c>
      <c r="BA25" s="9" t="s">
        <v>60</v>
      </c>
      <c r="BC25" s="24">
        <f t="shared" si="42"/>
        <v>0</v>
      </c>
      <c r="BD25" s="24">
        <f t="shared" si="43"/>
        <v>0</v>
      </c>
      <c r="BE25" s="24">
        <v>0</v>
      </c>
      <c r="BF25" s="24">
        <f t="shared" si="44"/>
        <v>2.0400000000000001E-3</v>
      </c>
      <c r="BH25" s="24">
        <f t="shared" si="45"/>
        <v>0</v>
      </c>
      <c r="BI25" s="24">
        <f t="shared" si="46"/>
        <v>0</v>
      </c>
      <c r="BJ25" s="24">
        <f t="shared" si="47"/>
        <v>0</v>
      </c>
      <c r="BK25" s="24"/>
      <c r="BL25" s="24">
        <v>733</v>
      </c>
      <c r="BW25" s="24">
        <v>12</v>
      </c>
      <c r="BX25" s="4" t="s">
        <v>99</v>
      </c>
    </row>
    <row r="26" spans="1:76" ht="14.4" x14ac:dyDescent="0.3">
      <c r="A26" s="2" t="s">
        <v>100</v>
      </c>
      <c r="B26" s="3" t="s">
        <v>101</v>
      </c>
      <c r="C26" s="83" t="s">
        <v>102</v>
      </c>
      <c r="D26" s="78"/>
      <c r="E26" s="3" t="s">
        <v>75</v>
      </c>
      <c r="F26" s="24">
        <v>17</v>
      </c>
      <c r="G26" s="24">
        <v>0</v>
      </c>
      <c r="H26" s="24">
        <f t="shared" si="24"/>
        <v>0</v>
      </c>
      <c r="I26" s="24">
        <f t="shared" si="25"/>
        <v>0</v>
      </c>
      <c r="J26" s="24">
        <f t="shared" si="26"/>
        <v>0</v>
      </c>
      <c r="K26" s="24">
        <v>1.6000000000000001E-3</v>
      </c>
      <c r="L26" s="25">
        <f t="shared" si="27"/>
        <v>2.7200000000000002E-2</v>
      </c>
      <c r="Z26" s="24">
        <f t="shared" si="28"/>
        <v>0</v>
      </c>
      <c r="AB26" s="24">
        <f t="shared" si="29"/>
        <v>0</v>
      </c>
      <c r="AC26" s="24">
        <f t="shared" si="30"/>
        <v>0</v>
      </c>
      <c r="AD26" s="24">
        <f t="shared" si="31"/>
        <v>0</v>
      </c>
      <c r="AE26" s="24">
        <f t="shared" si="32"/>
        <v>0</v>
      </c>
      <c r="AF26" s="24">
        <f t="shared" si="33"/>
        <v>0</v>
      </c>
      <c r="AG26" s="24">
        <f t="shared" si="34"/>
        <v>0</v>
      </c>
      <c r="AH26" s="24">
        <f t="shared" si="35"/>
        <v>0</v>
      </c>
      <c r="AI26" s="9" t="s">
        <v>51</v>
      </c>
      <c r="AJ26" s="24">
        <f t="shared" si="36"/>
        <v>0</v>
      </c>
      <c r="AK26" s="24">
        <f t="shared" si="37"/>
        <v>0</v>
      </c>
      <c r="AL26" s="24">
        <f t="shared" si="38"/>
        <v>0</v>
      </c>
      <c r="AN26" s="24">
        <v>12</v>
      </c>
      <c r="AO26" s="24">
        <f>G26*0.748769401</f>
        <v>0</v>
      </c>
      <c r="AP26" s="24">
        <f>G26*(1-0.748769401)</f>
        <v>0</v>
      </c>
      <c r="AQ26" s="26" t="s">
        <v>69</v>
      </c>
      <c r="AV26" s="24">
        <f t="shared" si="39"/>
        <v>0</v>
      </c>
      <c r="AW26" s="24">
        <f t="shared" si="40"/>
        <v>0</v>
      </c>
      <c r="AX26" s="24">
        <f t="shared" si="41"/>
        <v>0</v>
      </c>
      <c r="AY26" s="26" t="s">
        <v>92</v>
      </c>
      <c r="AZ26" s="26" t="s">
        <v>93</v>
      </c>
      <c r="BA26" s="9" t="s">
        <v>60</v>
      </c>
      <c r="BC26" s="24">
        <f t="shared" si="42"/>
        <v>0</v>
      </c>
      <c r="BD26" s="24">
        <f t="shared" si="43"/>
        <v>0</v>
      </c>
      <c r="BE26" s="24">
        <v>0</v>
      </c>
      <c r="BF26" s="24">
        <f t="shared" si="44"/>
        <v>2.7200000000000002E-2</v>
      </c>
      <c r="BH26" s="24">
        <f t="shared" si="45"/>
        <v>0</v>
      </c>
      <c r="BI26" s="24">
        <f t="shared" si="46"/>
        <v>0</v>
      </c>
      <c r="BJ26" s="24">
        <f t="shared" si="47"/>
        <v>0</v>
      </c>
      <c r="BK26" s="24"/>
      <c r="BL26" s="24">
        <v>733</v>
      </c>
      <c r="BW26" s="24">
        <v>12</v>
      </c>
      <c r="BX26" s="4" t="s">
        <v>102</v>
      </c>
    </row>
    <row r="27" spans="1:76" ht="14.4" x14ac:dyDescent="0.3">
      <c r="A27" s="2" t="s">
        <v>103</v>
      </c>
      <c r="B27" s="3" t="s">
        <v>104</v>
      </c>
      <c r="C27" s="83" t="s">
        <v>105</v>
      </c>
      <c r="D27" s="78"/>
      <c r="E27" s="3" t="s">
        <v>75</v>
      </c>
      <c r="F27" s="24">
        <v>9</v>
      </c>
      <c r="G27" s="24">
        <v>0</v>
      </c>
      <c r="H27" s="24">
        <f t="shared" si="24"/>
        <v>0</v>
      </c>
      <c r="I27" s="24">
        <f t="shared" si="25"/>
        <v>0</v>
      </c>
      <c r="J27" s="24">
        <f t="shared" si="26"/>
        <v>0</v>
      </c>
      <c r="K27" s="24">
        <v>1.97E-3</v>
      </c>
      <c r="L27" s="25">
        <f t="shared" si="27"/>
        <v>1.7729999999999999E-2</v>
      </c>
      <c r="Z27" s="24">
        <f t="shared" si="28"/>
        <v>0</v>
      </c>
      <c r="AB27" s="24">
        <f t="shared" si="29"/>
        <v>0</v>
      </c>
      <c r="AC27" s="24">
        <f t="shared" si="30"/>
        <v>0</v>
      </c>
      <c r="AD27" s="24">
        <f t="shared" si="31"/>
        <v>0</v>
      </c>
      <c r="AE27" s="24">
        <f t="shared" si="32"/>
        <v>0</v>
      </c>
      <c r="AF27" s="24">
        <f t="shared" si="33"/>
        <v>0</v>
      </c>
      <c r="AG27" s="24">
        <f t="shared" si="34"/>
        <v>0</v>
      </c>
      <c r="AH27" s="24">
        <f t="shared" si="35"/>
        <v>0</v>
      </c>
      <c r="AI27" s="9" t="s">
        <v>51</v>
      </c>
      <c r="AJ27" s="24">
        <f t="shared" si="36"/>
        <v>0</v>
      </c>
      <c r="AK27" s="24">
        <f t="shared" si="37"/>
        <v>0</v>
      </c>
      <c r="AL27" s="24">
        <f t="shared" si="38"/>
        <v>0</v>
      </c>
      <c r="AN27" s="24">
        <v>12</v>
      </c>
      <c r="AO27" s="24">
        <f>G27*0.790249785</f>
        <v>0</v>
      </c>
      <c r="AP27" s="24">
        <f>G27*(1-0.790249785)</f>
        <v>0</v>
      </c>
      <c r="AQ27" s="26" t="s">
        <v>69</v>
      </c>
      <c r="AV27" s="24">
        <f t="shared" si="39"/>
        <v>0</v>
      </c>
      <c r="AW27" s="24">
        <f t="shared" si="40"/>
        <v>0</v>
      </c>
      <c r="AX27" s="24">
        <f t="shared" si="41"/>
        <v>0</v>
      </c>
      <c r="AY27" s="26" t="s">
        <v>92</v>
      </c>
      <c r="AZ27" s="26" t="s">
        <v>93</v>
      </c>
      <c r="BA27" s="9" t="s">
        <v>60</v>
      </c>
      <c r="BC27" s="24">
        <f t="shared" si="42"/>
        <v>0</v>
      </c>
      <c r="BD27" s="24">
        <f t="shared" si="43"/>
        <v>0</v>
      </c>
      <c r="BE27" s="24">
        <v>0</v>
      </c>
      <c r="BF27" s="24">
        <f t="shared" si="44"/>
        <v>1.7729999999999999E-2</v>
      </c>
      <c r="BH27" s="24">
        <f t="shared" si="45"/>
        <v>0</v>
      </c>
      <c r="BI27" s="24">
        <f t="shared" si="46"/>
        <v>0</v>
      </c>
      <c r="BJ27" s="24">
        <f t="shared" si="47"/>
        <v>0</v>
      </c>
      <c r="BK27" s="24"/>
      <c r="BL27" s="24">
        <v>733</v>
      </c>
      <c r="BW27" s="24">
        <v>12</v>
      </c>
      <c r="BX27" s="4" t="s">
        <v>105</v>
      </c>
    </row>
    <row r="28" spans="1:76" ht="14.4" x14ac:dyDescent="0.3">
      <c r="A28" s="2" t="s">
        <v>106</v>
      </c>
      <c r="B28" s="3" t="s">
        <v>107</v>
      </c>
      <c r="C28" s="83" t="s">
        <v>108</v>
      </c>
      <c r="D28" s="78"/>
      <c r="E28" s="3" t="s">
        <v>57</v>
      </c>
      <c r="F28" s="24">
        <v>60</v>
      </c>
      <c r="G28" s="24">
        <v>0</v>
      </c>
      <c r="H28" s="24">
        <f t="shared" si="24"/>
        <v>0</v>
      </c>
      <c r="I28" s="24">
        <f t="shared" si="25"/>
        <v>0</v>
      </c>
      <c r="J28" s="24">
        <f t="shared" si="26"/>
        <v>0</v>
      </c>
      <c r="K28" s="24">
        <v>0</v>
      </c>
      <c r="L28" s="25">
        <f t="shared" si="27"/>
        <v>0</v>
      </c>
      <c r="Z28" s="24">
        <f t="shared" si="28"/>
        <v>0</v>
      </c>
      <c r="AB28" s="24">
        <f t="shared" si="29"/>
        <v>0</v>
      </c>
      <c r="AC28" s="24">
        <f t="shared" si="30"/>
        <v>0</v>
      </c>
      <c r="AD28" s="24">
        <f t="shared" si="31"/>
        <v>0</v>
      </c>
      <c r="AE28" s="24">
        <f t="shared" si="32"/>
        <v>0</v>
      </c>
      <c r="AF28" s="24">
        <f t="shared" si="33"/>
        <v>0</v>
      </c>
      <c r="AG28" s="24">
        <f t="shared" si="34"/>
        <v>0</v>
      </c>
      <c r="AH28" s="24">
        <f t="shared" si="35"/>
        <v>0</v>
      </c>
      <c r="AI28" s="9" t="s">
        <v>51</v>
      </c>
      <c r="AJ28" s="24">
        <f t="shared" si="36"/>
        <v>0</v>
      </c>
      <c r="AK28" s="24">
        <f t="shared" si="37"/>
        <v>0</v>
      </c>
      <c r="AL28" s="24">
        <f t="shared" si="38"/>
        <v>0</v>
      </c>
      <c r="AN28" s="24">
        <v>12</v>
      </c>
      <c r="AO28" s="24">
        <f>G28*0.183882784</f>
        <v>0</v>
      </c>
      <c r="AP28" s="24">
        <f>G28*(1-0.183882784)</f>
        <v>0</v>
      </c>
      <c r="AQ28" s="26" t="s">
        <v>69</v>
      </c>
      <c r="AV28" s="24">
        <f t="shared" si="39"/>
        <v>0</v>
      </c>
      <c r="AW28" s="24">
        <f t="shared" si="40"/>
        <v>0</v>
      </c>
      <c r="AX28" s="24">
        <f t="shared" si="41"/>
        <v>0</v>
      </c>
      <c r="AY28" s="26" t="s">
        <v>92</v>
      </c>
      <c r="AZ28" s="26" t="s">
        <v>93</v>
      </c>
      <c r="BA28" s="9" t="s">
        <v>60</v>
      </c>
      <c r="BC28" s="24">
        <f t="shared" si="42"/>
        <v>0</v>
      </c>
      <c r="BD28" s="24">
        <f t="shared" si="43"/>
        <v>0</v>
      </c>
      <c r="BE28" s="24">
        <v>0</v>
      </c>
      <c r="BF28" s="24">
        <f t="shared" si="44"/>
        <v>0</v>
      </c>
      <c r="BH28" s="24">
        <f t="shared" si="45"/>
        <v>0</v>
      </c>
      <c r="BI28" s="24">
        <f t="shared" si="46"/>
        <v>0</v>
      </c>
      <c r="BJ28" s="24">
        <f t="shared" si="47"/>
        <v>0</v>
      </c>
      <c r="BK28" s="24"/>
      <c r="BL28" s="24">
        <v>733</v>
      </c>
      <c r="BW28" s="24">
        <v>12</v>
      </c>
      <c r="BX28" s="4" t="s">
        <v>108</v>
      </c>
    </row>
    <row r="29" spans="1:76" ht="14.4" x14ac:dyDescent="0.3">
      <c r="A29" s="2" t="s">
        <v>109</v>
      </c>
      <c r="B29" s="3" t="s">
        <v>110</v>
      </c>
      <c r="C29" s="83" t="s">
        <v>111</v>
      </c>
      <c r="D29" s="78"/>
      <c r="E29" s="3" t="s">
        <v>75</v>
      </c>
      <c r="F29" s="24">
        <v>416</v>
      </c>
      <c r="G29" s="24">
        <v>0</v>
      </c>
      <c r="H29" s="24">
        <f t="shared" si="24"/>
        <v>0</v>
      </c>
      <c r="I29" s="24">
        <f t="shared" si="25"/>
        <v>0</v>
      </c>
      <c r="J29" s="24">
        <f t="shared" si="26"/>
        <v>0</v>
      </c>
      <c r="K29" s="24">
        <v>0</v>
      </c>
      <c r="L29" s="25">
        <f t="shared" si="27"/>
        <v>0</v>
      </c>
      <c r="Z29" s="24">
        <f t="shared" si="28"/>
        <v>0</v>
      </c>
      <c r="AB29" s="24">
        <f t="shared" si="29"/>
        <v>0</v>
      </c>
      <c r="AC29" s="24">
        <f t="shared" si="30"/>
        <v>0</v>
      </c>
      <c r="AD29" s="24">
        <f t="shared" si="31"/>
        <v>0</v>
      </c>
      <c r="AE29" s="24">
        <f t="shared" si="32"/>
        <v>0</v>
      </c>
      <c r="AF29" s="24">
        <f t="shared" si="33"/>
        <v>0</v>
      </c>
      <c r="AG29" s="24">
        <f t="shared" si="34"/>
        <v>0</v>
      </c>
      <c r="AH29" s="24">
        <f t="shared" si="35"/>
        <v>0</v>
      </c>
      <c r="AI29" s="9" t="s">
        <v>51</v>
      </c>
      <c r="AJ29" s="24">
        <f t="shared" si="36"/>
        <v>0</v>
      </c>
      <c r="AK29" s="24">
        <f t="shared" si="37"/>
        <v>0</v>
      </c>
      <c r="AL29" s="24">
        <f t="shared" si="38"/>
        <v>0</v>
      </c>
      <c r="AN29" s="24">
        <v>12</v>
      </c>
      <c r="AO29" s="24">
        <f>G29*0.02</f>
        <v>0</v>
      </c>
      <c r="AP29" s="24">
        <f>G29*(1-0.02)</f>
        <v>0</v>
      </c>
      <c r="AQ29" s="26" t="s">
        <v>69</v>
      </c>
      <c r="AV29" s="24">
        <f t="shared" si="39"/>
        <v>0</v>
      </c>
      <c r="AW29" s="24">
        <f t="shared" si="40"/>
        <v>0</v>
      </c>
      <c r="AX29" s="24">
        <f t="shared" si="41"/>
        <v>0</v>
      </c>
      <c r="AY29" s="26" t="s">
        <v>92</v>
      </c>
      <c r="AZ29" s="26" t="s">
        <v>93</v>
      </c>
      <c r="BA29" s="9" t="s">
        <v>60</v>
      </c>
      <c r="BC29" s="24">
        <f t="shared" si="42"/>
        <v>0</v>
      </c>
      <c r="BD29" s="24">
        <f t="shared" si="43"/>
        <v>0</v>
      </c>
      <c r="BE29" s="24">
        <v>0</v>
      </c>
      <c r="BF29" s="24">
        <f t="shared" si="44"/>
        <v>0</v>
      </c>
      <c r="BH29" s="24">
        <f t="shared" si="45"/>
        <v>0</v>
      </c>
      <c r="BI29" s="24">
        <f t="shared" si="46"/>
        <v>0</v>
      </c>
      <c r="BJ29" s="24">
        <f t="shared" si="47"/>
        <v>0</v>
      </c>
      <c r="BK29" s="24"/>
      <c r="BL29" s="24">
        <v>733</v>
      </c>
      <c r="BW29" s="24">
        <v>12</v>
      </c>
      <c r="BX29" s="4" t="s">
        <v>111</v>
      </c>
    </row>
    <row r="30" spans="1:76" ht="14.4" x14ac:dyDescent="0.3">
      <c r="A30" s="27" t="s">
        <v>51</v>
      </c>
      <c r="B30" s="28" t="s">
        <v>112</v>
      </c>
      <c r="C30" s="101" t="s">
        <v>113</v>
      </c>
      <c r="D30" s="102"/>
      <c r="E30" s="29" t="s">
        <v>18</v>
      </c>
      <c r="F30" s="29" t="s">
        <v>18</v>
      </c>
      <c r="G30" s="29" t="s">
        <v>18</v>
      </c>
      <c r="H30" s="1">
        <f>SUM(H31:H40)</f>
        <v>0</v>
      </c>
      <c r="I30" s="1">
        <f>SUM(I31:I40)</f>
        <v>0</v>
      </c>
      <c r="J30" s="1">
        <f>SUM(J31:J40)</f>
        <v>0</v>
      </c>
      <c r="K30" s="9" t="s">
        <v>51</v>
      </c>
      <c r="L30" s="30">
        <f>SUM(L31:L40)</f>
        <v>3.4159999999999996E-2</v>
      </c>
      <c r="AI30" s="9" t="s">
        <v>51</v>
      </c>
      <c r="AS30" s="1">
        <f>SUM(AJ31:AJ40)</f>
        <v>0</v>
      </c>
      <c r="AT30" s="1">
        <f>SUM(AK31:AK40)</f>
        <v>0</v>
      </c>
      <c r="AU30" s="1">
        <f>SUM(AL31:AL40)</f>
        <v>0</v>
      </c>
    </row>
    <row r="31" spans="1:76" ht="14.4" x14ac:dyDescent="0.3">
      <c r="A31" s="2" t="s">
        <v>114</v>
      </c>
      <c r="B31" s="3" t="s">
        <v>115</v>
      </c>
      <c r="C31" s="83" t="s">
        <v>116</v>
      </c>
      <c r="D31" s="78"/>
      <c r="E31" s="3" t="s">
        <v>57</v>
      </c>
      <c r="F31" s="24">
        <v>6</v>
      </c>
      <c r="G31" s="24">
        <v>0</v>
      </c>
      <c r="H31" s="24">
        <f t="shared" ref="H31:H38" si="48">ROUND(F31*AO31,2)</f>
        <v>0</v>
      </c>
      <c r="I31" s="24">
        <f t="shared" ref="I31:I38" si="49">ROUND(F31*AP31,2)</f>
        <v>0</v>
      </c>
      <c r="J31" s="24">
        <f t="shared" ref="J31:J38" si="50">ROUND(F31*G31,2)</f>
        <v>0</v>
      </c>
      <c r="K31" s="24">
        <v>4.4000000000000002E-4</v>
      </c>
      <c r="L31" s="25">
        <f t="shared" ref="L31:L38" si="51">F31*K31</f>
        <v>2.64E-3</v>
      </c>
      <c r="Z31" s="24">
        <f t="shared" ref="Z31:Z38" si="52">ROUND(IF(AQ31="5",BJ31,0),2)</f>
        <v>0</v>
      </c>
      <c r="AB31" s="24">
        <f t="shared" ref="AB31:AB38" si="53">ROUND(IF(AQ31="1",BH31,0),2)</f>
        <v>0</v>
      </c>
      <c r="AC31" s="24">
        <f t="shared" ref="AC31:AC38" si="54">ROUND(IF(AQ31="1",BI31,0),2)</f>
        <v>0</v>
      </c>
      <c r="AD31" s="24">
        <f t="shared" ref="AD31:AD38" si="55">ROUND(IF(AQ31="7",BH31,0),2)</f>
        <v>0</v>
      </c>
      <c r="AE31" s="24">
        <f t="shared" ref="AE31:AE38" si="56">ROUND(IF(AQ31="7",BI31,0),2)</f>
        <v>0</v>
      </c>
      <c r="AF31" s="24">
        <f t="shared" ref="AF31:AF38" si="57">ROUND(IF(AQ31="2",BH31,0),2)</f>
        <v>0</v>
      </c>
      <c r="AG31" s="24">
        <f t="shared" ref="AG31:AG38" si="58">ROUND(IF(AQ31="2",BI31,0),2)</f>
        <v>0</v>
      </c>
      <c r="AH31" s="24">
        <f t="shared" ref="AH31:AH38" si="59">ROUND(IF(AQ31="0",BJ31,0),2)</f>
        <v>0</v>
      </c>
      <c r="AI31" s="9" t="s">
        <v>51</v>
      </c>
      <c r="AJ31" s="24">
        <f t="shared" ref="AJ31:AJ38" si="60">IF(AN31=0,J31,0)</f>
        <v>0</v>
      </c>
      <c r="AK31" s="24">
        <f t="shared" ref="AK31:AK38" si="61">IF(AN31=12,J31,0)</f>
        <v>0</v>
      </c>
      <c r="AL31" s="24">
        <f t="shared" ref="AL31:AL38" si="62">IF(AN31=21,J31,0)</f>
        <v>0</v>
      </c>
      <c r="AN31" s="24">
        <v>12</v>
      </c>
      <c r="AO31" s="24">
        <f>G31*0.948508642</f>
        <v>0</v>
      </c>
      <c r="AP31" s="24">
        <f>G31*(1-0.948508642)</f>
        <v>0</v>
      </c>
      <c r="AQ31" s="26" t="s">
        <v>69</v>
      </c>
      <c r="AV31" s="24">
        <f t="shared" ref="AV31:AV38" si="63">ROUND(AW31+AX31,2)</f>
        <v>0</v>
      </c>
      <c r="AW31" s="24">
        <f t="shared" ref="AW31:AW38" si="64">ROUND(F31*AO31,2)</f>
        <v>0</v>
      </c>
      <c r="AX31" s="24">
        <f t="shared" ref="AX31:AX38" si="65">ROUND(F31*AP31,2)</f>
        <v>0</v>
      </c>
      <c r="AY31" s="26" t="s">
        <v>117</v>
      </c>
      <c r="AZ31" s="26" t="s">
        <v>93</v>
      </c>
      <c r="BA31" s="9" t="s">
        <v>60</v>
      </c>
      <c r="BC31" s="24">
        <f t="shared" ref="BC31:BC38" si="66">AW31+AX31</f>
        <v>0</v>
      </c>
      <c r="BD31" s="24">
        <f t="shared" ref="BD31:BD38" si="67">G31/(100-BE31)*100</f>
        <v>0</v>
      </c>
      <c r="BE31" s="24">
        <v>0</v>
      </c>
      <c r="BF31" s="24">
        <f t="shared" ref="BF31:BF38" si="68">L31</f>
        <v>2.64E-3</v>
      </c>
      <c r="BH31" s="24">
        <f t="shared" ref="BH31:BH38" si="69">F31*AO31</f>
        <v>0</v>
      </c>
      <c r="BI31" s="24">
        <f t="shared" ref="BI31:BI38" si="70">F31*AP31</f>
        <v>0</v>
      </c>
      <c r="BJ31" s="24">
        <f t="shared" ref="BJ31:BJ38" si="71">F31*G31</f>
        <v>0</v>
      </c>
      <c r="BK31" s="24"/>
      <c r="BL31" s="24">
        <v>734</v>
      </c>
      <c r="BW31" s="24">
        <v>12</v>
      </c>
      <c r="BX31" s="4" t="s">
        <v>116</v>
      </c>
    </row>
    <row r="32" spans="1:76" ht="14.4" x14ac:dyDescent="0.3">
      <c r="A32" s="2" t="s">
        <v>118</v>
      </c>
      <c r="B32" s="3" t="s">
        <v>119</v>
      </c>
      <c r="C32" s="83" t="s">
        <v>120</v>
      </c>
      <c r="D32" s="78"/>
      <c r="E32" s="3" t="s">
        <v>57</v>
      </c>
      <c r="F32" s="24">
        <v>24</v>
      </c>
      <c r="G32" s="24">
        <v>0</v>
      </c>
      <c r="H32" s="24">
        <f t="shared" si="48"/>
        <v>0</v>
      </c>
      <c r="I32" s="24">
        <f t="shared" si="49"/>
        <v>0</v>
      </c>
      <c r="J32" s="24">
        <f t="shared" si="50"/>
        <v>0</v>
      </c>
      <c r="K32" s="24">
        <v>4.4000000000000002E-4</v>
      </c>
      <c r="L32" s="25">
        <f t="shared" si="51"/>
        <v>1.056E-2</v>
      </c>
      <c r="Z32" s="24">
        <f t="shared" si="52"/>
        <v>0</v>
      </c>
      <c r="AB32" s="24">
        <f t="shared" si="53"/>
        <v>0</v>
      </c>
      <c r="AC32" s="24">
        <f t="shared" si="54"/>
        <v>0</v>
      </c>
      <c r="AD32" s="24">
        <f t="shared" si="55"/>
        <v>0</v>
      </c>
      <c r="AE32" s="24">
        <f t="shared" si="56"/>
        <v>0</v>
      </c>
      <c r="AF32" s="24">
        <f t="shared" si="57"/>
        <v>0</v>
      </c>
      <c r="AG32" s="24">
        <f t="shared" si="58"/>
        <v>0</v>
      </c>
      <c r="AH32" s="24">
        <f t="shared" si="59"/>
        <v>0</v>
      </c>
      <c r="AI32" s="9" t="s">
        <v>51</v>
      </c>
      <c r="AJ32" s="24">
        <f t="shared" si="60"/>
        <v>0</v>
      </c>
      <c r="AK32" s="24">
        <f t="shared" si="61"/>
        <v>0</v>
      </c>
      <c r="AL32" s="24">
        <f t="shared" si="62"/>
        <v>0</v>
      </c>
      <c r="AN32" s="24">
        <v>12</v>
      </c>
      <c r="AO32" s="24">
        <f>G32*0.82156611</f>
        <v>0</v>
      </c>
      <c r="AP32" s="24">
        <f>G32*(1-0.82156611)</f>
        <v>0</v>
      </c>
      <c r="AQ32" s="26" t="s">
        <v>69</v>
      </c>
      <c r="AV32" s="24">
        <f t="shared" si="63"/>
        <v>0</v>
      </c>
      <c r="AW32" s="24">
        <f t="shared" si="64"/>
        <v>0</v>
      </c>
      <c r="AX32" s="24">
        <f t="shared" si="65"/>
        <v>0</v>
      </c>
      <c r="AY32" s="26" t="s">
        <v>117</v>
      </c>
      <c r="AZ32" s="26" t="s">
        <v>93</v>
      </c>
      <c r="BA32" s="9" t="s">
        <v>60</v>
      </c>
      <c r="BC32" s="24">
        <f t="shared" si="66"/>
        <v>0</v>
      </c>
      <c r="BD32" s="24">
        <f t="shared" si="67"/>
        <v>0</v>
      </c>
      <c r="BE32" s="24">
        <v>0</v>
      </c>
      <c r="BF32" s="24">
        <f t="shared" si="68"/>
        <v>1.056E-2</v>
      </c>
      <c r="BH32" s="24">
        <f t="shared" si="69"/>
        <v>0</v>
      </c>
      <c r="BI32" s="24">
        <f t="shared" si="70"/>
        <v>0</v>
      </c>
      <c r="BJ32" s="24">
        <f t="shared" si="71"/>
        <v>0</v>
      </c>
      <c r="BK32" s="24"/>
      <c r="BL32" s="24">
        <v>734</v>
      </c>
      <c r="BW32" s="24">
        <v>12</v>
      </c>
      <c r="BX32" s="4" t="s">
        <v>120</v>
      </c>
    </row>
    <row r="33" spans="1:76" ht="14.4" x14ac:dyDescent="0.3">
      <c r="A33" s="2" t="s">
        <v>121</v>
      </c>
      <c r="B33" s="3" t="s">
        <v>122</v>
      </c>
      <c r="C33" s="83" t="s">
        <v>123</v>
      </c>
      <c r="D33" s="78"/>
      <c r="E33" s="3" t="s">
        <v>57</v>
      </c>
      <c r="F33" s="24">
        <v>60</v>
      </c>
      <c r="G33" s="24">
        <v>0</v>
      </c>
      <c r="H33" s="24">
        <f t="shared" si="48"/>
        <v>0</v>
      </c>
      <c r="I33" s="24">
        <f t="shared" si="49"/>
        <v>0</v>
      </c>
      <c r="J33" s="24">
        <f t="shared" si="50"/>
        <v>0</v>
      </c>
      <c r="K33" s="24">
        <v>1.4999999999999999E-4</v>
      </c>
      <c r="L33" s="25">
        <f t="shared" si="51"/>
        <v>8.9999999999999993E-3</v>
      </c>
      <c r="Z33" s="24">
        <f t="shared" si="52"/>
        <v>0</v>
      </c>
      <c r="AB33" s="24">
        <f t="shared" si="53"/>
        <v>0</v>
      </c>
      <c r="AC33" s="24">
        <f t="shared" si="54"/>
        <v>0</v>
      </c>
      <c r="AD33" s="24">
        <f t="shared" si="55"/>
        <v>0</v>
      </c>
      <c r="AE33" s="24">
        <f t="shared" si="56"/>
        <v>0</v>
      </c>
      <c r="AF33" s="24">
        <f t="shared" si="57"/>
        <v>0</v>
      </c>
      <c r="AG33" s="24">
        <f t="shared" si="58"/>
        <v>0</v>
      </c>
      <c r="AH33" s="24">
        <f t="shared" si="59"/>
        <v>0</v>
      </c>
      <c r="AI33" s="9" t="s">
        <v>51</v>
      </c>
      <c r="AJ33" s="24">
        <f t="shared" si="60"/>
        <v>0</v>
      </c>
      <c r="AK33" s="24">
        <f t="shared" si="61"/>
        <v>0</v>
      </c>
      <c r="AL33" s="24">
        <f t="shared" si="62"/>
        <v>0</v>
      </c>
      <c r="AN33" s="24">
        <v>12</v>
      </c>
      <c r="AO33" s="24">
        <f>G33*0.751008935</f>
        <v>0</v>
      </c>
      <c r="AP33" s="24">
        <f>G33*(1-0.751008935)</f>
        <v>0</v>
      </c>
      <c r="AQ33" s="26" t="s">
        <v>69</v>
      </c>
      <c r="AV33" s="24">
        <f t="shared" si="63"/>
        <v>0</v>
      </c>
      <c r="AW33" s="24">
        <f t="shared" si="64"/>
        <v>0</v>
      </c>
      <c r="AX33" s="24">
        <f t="shared" si="65"/>
        <v>0</v>
      </c>
      <c r="AY33" s="26" t="s">
        <v>117</v>
      </c>
      <c r="AZ33" s="26" t="s">
        <v>93</v>
      </c>
      <c r="BA33" s="9" t="s">
        <v>60</v>
      </c>
      <c r="BC33" s="24">
        <f t="shared" si="66"/>
        <v>0</v>
      </c>
      <c r="BD33" s="24">
        <f t="shared" si="67"/>
        <v>0</v>
      </c>
      <c r="BE33" s="24">
        <v>0</v>
      </c>
      <c r="BF33" s="24">
        <f t="shared" si="68"/>
        <v>8.9999999999999993E-3</v>
      </c>
      <c r="BH33" s="24">
        <f t="shared" si="69"/>
        <v>0</v>
      </c>
      <c r="BI33" s="24">
        <f t="shared" si="70"/>
        <v>0</v>
      </c>
      <c r="BJ33" s="24">
        <f t="shared" si="71"/>
        <v>0</v>
      </c>
      <c r="BK33" s="24"/>
      <c r="BL33" s="24">
        <v>734</v>
      </c>
      <c r="BW33" s="24">
        <v>12</v>
      </c>
      <c r="BX33" s="4" t="s">
        <v>123</v>
      </c>
    </row>
    <row r="34" spans="1:76" ht="14.4" x14ac:dyDescent="0.3">
      <c r="A34" s="2" t="s">
        <v>124</v>
      </c>
      <c r="B34" s="3" t="s">
        <v>125</v>
      </c>
      <c r="C34" s="83" t="s">
        <v>126</v>
      </c>
      <c r="D34" s="78"/>
      <c r="E34" s="3" t="s">
        <v>57</v>
      </c>
      <c r="F34" s="24">
        <v>20</v>
      </c>
      <c r="G34" s="24">
        <v>0</v>
      </c>
      <c r="H34" s="24">
        <f t="shared" si="48"/>
        <v>0</v>
      </c>
      <c r="I34" s="24">
        <f t="shared" si="49"/>
        <v>0</v>
      </c>
      <c r="J34" s="24">
        <f t="shared" si="50"/>
        <v>0</v>
      </c>
      <c r="K34" s="24">
        <v>1.7000000000000001E-4</v>
      </c>
      <c r="L34" s="25">
        <f t="shared" si="51"/>
        <v>3.4000000000000002E-3</v>
      </c>
      <c r="Z34" s="24">
        <f t="shared" si="52"/>
        <v>0</v>
      </c>
      <c r="AB34" s="24">
        <f t="shared" si="53"/>
        <v>0</v>
      </c>
      <c r="AC34" s="24">
        <f t="shared" si="54"/>
        <v>0</v>
      </c>
      <c r="AD34" s="24">
        <f t="shared" si="55"/>
        <v>0</v>
      </c>
      <c r="AE34" s="24">
        <f t="shared" si="56"/>
        <v>0</v>
      </c>
      <c r="AF34" s="24">
        <f t="shared" si="57"/>
        <v>0</v>
      </c>
      <c r="AG34" s="24">
        <f t="shared" si="58"/>
        <v>0</v>
      </c>
      <c r="AH34" s="24">
        <f t="shared" si="59"/>
        <v>0</v>
      </c>
      <c r="AI34" s="9" t="s">
        <v>51</v>
      </c>
      <c r="AJ34" s="24">
        <f t="shared" si="60"/>
        <v>0</v>
      </c>
      <c r="AK34" s="24">
        <f t="shared" si="61"/>
        <v>0</v>
      </c>
      <c r="AL34" s="24">
        <f t="shared" si="62"/>
        <v>0</v>
      </c>
      <c r="AN34" s="24">
        <v>12</v>
      </c>
      <c r="AO34" s="24">
        <f>G34*0.720639148</f>
        <v>0</v>
      </c>
      <c r="AP34" s="24">
        <f>G34*(1-0.720639148)</f>
        <v>0</v>
      </c>
      <c r="AQ34" s="26" t="s">
        <v>69</v>
      </c>
      <c r="AV34" s="24">
        <f t="shared" si="63"/>
        <v>0</v>
      </c>
      <c r="AW34" s="24">
        <f t="shared" si="64"/>
        <v>0</v>
      </c>
      <c r="AX34" s="24">
        <f t="shared" si="65"/>
        <v>0</v>
      </c>
      <c r="AY34" s="26" t="s">
        <v>117</v>
      </c>
      <c r="AZ34" s="26" t="s">
        <v>93</v>
      </c>
      <c r="BA34" s="9" t="s">
        <v>60</v>
      </c>
      <c r="BC34" s="24">
        <f t="shared" si="66"/>
        <v>0</v>
      </c>
      <c r="BD34" s="24">
        <f t="shared" si="67"/>
        <v>0</v>
      </c>
      <c r="BE34" s="24">
        <v>0</v>
      </c>
      <c r="BF34" s="24">
        <f t="shared" si="68"/>
        <v>3.4000000000000002E-3</v>
      </c>
      <c r="BH34" s="24">
        <f t="shared" si="69"/>
        <v>0</v>
      </c>
      <c r="BI34" s="24">
        <f t="shared" si="70"/>
        <v>0</v>
      </c>
      <c r="BJ34" s="24">
        <f t="shared" si="71"/>
        <v>0</v>
      </c>
      <c r="BK34" s="24"/>
      <c r="BL34" s="24">
        <v>734</v>
      </c>
      <c r="BW34" s="24">
        <v>12</v>
      </c>
      <c r="BX34" s="4" t="s">
        <v>126</v>
      </c>
    </row>
    <row r="35" spans="1:76" ht="14.4" x14ac:dyDescent="0.3">
      <c r="A35" s="2" t="s">
        <v>127</v>
      </c>
      <c r="B35" s="3" t="s">
        <v>128</v>
      </c>
      <c r="C35" s="83" t="s">
        <v>129</v>
      </c>
      <c r="D35" s="78"/>
      <c r="E35" s="3" t="s">
        <v>57</v>
      </c>
      <c r="F35" s="24">
        <v>4</v>
      </c>
      <c r="G35" s="24">
        <v>0</v>
      </c>
      <c r="H35" s="24">
        <f t="shared" si="48"/>
        <v>0</v>
      </c>
      <c r="I35" s="24">
        <f t="shared" si="49"/>
        <v>0</v>
      </c>
      <c r="J35" s="24">
        <f t="shared" si="50"/>
        <v>0</v>
      </c>
      <c r="K35" s="24">
        <v>1.3999999999999999E-4</v>
      </c>
      <c r="L35" s="25">
        <f t="shared" si="51"/>
        <v>5.5999999999999995E-4</v>
      </c>
      <c r="Z35" s="24">
        <f t="shared" si="52"/>
        <v>0</v>
      </c>
      <c r="AB35" s="24">
        <f t="shared" si="53"/>
        <v>0</v>
      </c>
      <c r="AC35" s="24">
        <f t="shared" si="54"/>
        <v>0</v>
      </c>
      <c r="AD35" s="24">
        <f t="shared" si="55"/>
        <v>0</v>
      </c>
      <c r="AE35" s="24">
        <f t="shared" si="56"/>
        <v>0</v>
      </c>
      <c r="AF35" s="24">
        <f t="shared" si="57"/>
        <v>0</v>
      </c>
      <c r="AG35" s="24">
        <f t="shared" si="58"/>
        <v>0</v>
      </c>
      <c r="AH35" s="24">
        <f t="shared" si="59"/>
        <v>0</v>
      </c>
      <c r="AI35" s="9" t="s">
        <v>51</v>
      </c>
      <c r="AJ35" s="24">
        <f t="shared" si="60"/>
        <v>0</v>
      </c>
      <c r="AK35" s="24">
        <f t="shared" si="61"/>
        <v>0</v>
      </c>
      <c r="AL35" s="24">
        <f t="shared" si="62"/>
        <v>0</v>
      </c>
      <c r="AN35" s="24">
        <v>12</v>
      </c>
      <c r="AO35" s="24">
        <f>G35*0.69147929</f>
        <v>0</v>
      </c>
      <c r="AP35" s="24">
        <f>G35*(1-0.69147929)</f>
        <v>0</v>
      </c>
      <c r="AQ35" s="26" t="s">
        <v>69</v>
      </c>
      <c r="AV35" s="24">
        <f t="shared" si="63"/>
        <v>0</v>
      </c>
      <c r="AW35" s="24">
        <f t="shared" si="64"/>
        <v>0</v>
      </c>
      <c r="AX35" s="24">
        <f t="shared" si="65"/>
        <v>0</v>
      </c>
      <c r="AY35" s="26" t="s">
        <v>117</v>
      </c>
      <c r="AZ35" s="26" t="s">
        <v>93</v>
      </c>
      <c r="BA35" s="9" t="s">
        <v>60</v>
      </c>
      <c r="BC35" s="24">
        <f t="shared" si="66"/>
        <v>0</v>
      </c>
      <c r="BD35" s="24">
        <f t="shared" si="67"/>
        <v>0</v>
      </c>
      <c r="BE35" s="24">
        <v>0</v>
      </c>
      <c r="BF35" s="24">
        <f t="shared" si="68"/>
        <v>5.5999999999999995E-4</v>
      </c>
      <c r="BH35" s="24">
        <f t="shared" si="69"/>
        <v>0</v>
      </c>
      <c r="BI35" s="24">
        <f t="shared" si="70"/>
        <v>0</v>
      </c>
      <c r="BJ35" s="24">
        <f t="shared" si="71"/>
        <v>0</v>
      </c>
      <c r="BK35" s="24"/>
      <c r="BL35" s="24">
        <v>734</v>
      </c>
      <c r="BW35" s="24">
        <v>12</v>
      </c>
      <c r="BX35" s="4" t="s">
        <v>129</v>
      </c>
    </row>
    <row r="36" spans="1:76" ht="14.4" x14ac:dyDescent="0.3">
      <c r="A36" s="2" t="s">
        <v>130</v>
      </c>
      <c r="B36" s="3" t="s">
        <v>131</v>
      </c>
      <c r="C36" s="83" t="s">
        <v>132</v>
      </c>
      <c r="D36" s="78"/>
      <c r="E36" s="3" t="s">
        <v>57</v>
      </c>
      <c r="F36" s="24">
        <v>2</v>
      </c>
      <c r="G36" s="24">
        <v>0</v>
      </c>
      <c r="H36" s="24">
        <f t="shared" si="48"/>
        <v>0</v>
      </c>
      <c r="I36" s="24">
        <f t="shared" si="49"/>
        <v>0</v>
      </c>
      <c r="J36" s="24">
        <f t="shared" si="50"/>
        <v>0</v>
      </c>
      <c r="K36" s="24">
        <v>1E-4</v>
      </c>
      <c r="L36" s="25">
        <f t="shared" si="51"/>
        <v>2.0000000000000001E-4</v>
      </c>
      <c r="Z36" s="24">
        <f t="shared" si="52"/>
        <v>0</v>
      </c>
      <c r="AB36" s="24">
        <f t="shared" si="53"/>
        <v>0</v>
      </c>
      <c r="AC36" s="24">
        <f t="shared" si="54"/>
        <v>0</v>
      </c>
      <c r="AD36" s="24">
        <f t="shared" si="55"/>
        <v>0</v>
      </c>
      <c r="AE36" s="24">
        <f t="shared" si="56"/>
        <v>0</v>
      </c>
      <c r="AF36" s="24">
        <f t="shared" si="57"/>
        <v>0</v>
      </c>
      <c r="AG36" s="24">
        <f t="shared" si="58"/>
        <v>0</v>
      </c>
      <c r="AH36" s="24">
        <f t="shared" si="59"/>
        <v>0</v>
      </c>
      <c r="AI36" s="9" t="s">
        <v>51</v>
      </c>
      <c r="AJ36" s="24">
        <f t="shared" si="60"/>
        <v>0</v>
      </c>
      <c r="AK36" s="24">
        <f t="shared" si="61"/>
        <v>0</v>
      </c>
      <c r="AL36" s="24">
        <f t="shared" si="62"/>
        <v>0</v>
      </c>
      <c r="AN36" s="24">
        <v>12</v>
      </c>
      <c r="AO36" s="24">
        <f>G36*0.881443609</f>
        <v>0</v>
      </c>
      <c r="AP36" s="24">
        <f>G36*(1-0.881443609)</f>
        <v>0</v>
      </c>
      <c r="AQ36" s="26" t="s">
        <v>69</v>
      </c>
      <c r="AV36" s="24">
        <f t="shared" si="63"/>
        <v>0</v>
      </c>
      <c r="AW36" s="24">
        <f t="shared" si="64"/>
        <v>0</v>
      </c>
      <c r="AX36" s="24">
        <f t="shared" si="65"/>
        <v>0</v>
      </c>
      <c r="AY36" s="26" t="s">
        <v>117</v>
      </c>
      <c r="AZ36" s="26" t="s">
        <v>93</v>
      </c>
      <c r="BA36" s="9" t="s">
        <v>60</v>
      </c>
      <c r="BC36" s="24">
        <f t="shared" si="66"/>
        <v>0</v>
      </c>
      <c r="BD36" s="24">
        <f t="shared" si="67"/>
        <v>0</v>
      </c>
      <c r="BE36" s="24">
        <v>0</v>
      </c>
      <c r="BF36" s="24">
        <f t="shared" si="68"/>
        <v>2.0000000000000001E-4</v>
      </c>
      <c r="BH36" s="24">
        <f t="shared" si="69"/>
        <v>0</v>
      </c>
      <c r="BI36" s="24">
        <f t="shared" si="70"/>
        <v>0</v>
      </c>
      <c r="BJ36" s="24">
        <f t="shared" si="71"/>
        <v>0</v>
      </c>
      <c r="BK36" s="24"/>
      <c r="BL36" s="24">
        <v>734</v>
      </c>
      <c r="BW36" s="24">
        <v>12</v>
      </c>
      <c r="BX36" s="4" t="s">
        <v>132</v>
      </c>
    </row>
    <row r="37" spans="1:76" ht="14.4" x14ac:dyDescent="0.3">
      <c r="A37" s="2" t="s">
        <v>133</v>
      </c>
      <c r="B37" s="3" t="s">
        <v>134</v>
      </c>
      <c r="C37" s="83" t="s">
        <v>135</v>
      </c>
      <c r="D37" s="78"/>
      <c r="E37" s="3" t="s">
        <v>57</v>
      </c>
      <c r="F37" s="24">
        <v>30</v>
      </c>
      <c r="G37" s="24">
        <v>0</v>
      </c>
      <c r="H37" s="24">
        <f t="shared" si="48"/>
        <v>0</v>
      </c>
      <c r="I37" s="24">
        <f t="shared" si="49"/>
        <v>0</v>
      </c>
      <c r="J37" s="24">
        <f t="shared" si="50"/>
        <v>0</v>
      </c>
      <c r="K37" s="24">
        <v>1.3999999999999999E-4</v>
      </c>
      <c r="L37" s="25">
        <f t="shared" si="51"/>
        <v>4.1999999999999997E-3</v>
      </c>
      <c r="Z37" s="24">
        <f t="shared" si="52"/>
        <v>0</v>
      </c>
      <c r="AB37" s="24">
        <f t="shared" si="53"/>
        <v>0</v>
      </c>
      <c r="AC37" s="24">
        <f t="shared" si="54"/>
        <v>0</v>
      </c>
      <c r="AD37" s="24">
        <f t="shared" si="55"/>
        <v>0</v>
      </c>
      <c r="AE37" s="24">
        <f t="shared" si="56"/>
        <v>0</v>
      </c>
      <c r="AF37" s="24">
        <f t="shared" si="57"/>
        <v>0</v>
      </c>
      <c r="AG37" s="24">
        <f t="shared" si="58"/>
        <v>0</v>
      </c>
      <c r="AH37" s="24">
        <f t="shared" si="59"/>
        <v>0</v>
      </c>
      <c r="AI37" s="9" t="s">
        <v>51</v>
      </c>
      <c r="AJ37" s="24">
        <f t="shared" si="60"/>
        <v>0</v>
      </c>
      <c r="AK37" s="24">
        <f t="shared" si="61"/>
        <v>0</v>
      </c>
      <c r="AL37" s="24">
        <f t="shared" si="62"/>
        <v>0</v>
      </c>
      <c r="AN37" s="24">
        <v>12</v>
      </c>
      <c r="AO37" s="24">
        <f>G37*0.928575144</f>
        <v>0</v>
      </c>
      <c r="AP37" s="24">
        <f>G37*(1-0.928575144)</f>
        <v>0</v>
      </c>
      <c r="AQ37" s="26" t="s">
        <v>69</v>
      </c>
      <c r="AV37" s="24">
        <f t="shared" si="63"/>
        <v>0</v>
      </c>
      <c r="AW37" s="24">
        <f t="shared" si="64"/>
        <v>0</v>
      </c>
      <c r="AX37" s="24">
        <f t="shared" si="65"/>
        <v>0</v>
      </c>
      <c r="AY37" s="26" t="s">
        <v>117</v>
      </c>
      <c r="AZ37" s="26" t="s">
        <v>93</v>
      </c>
      <c r="BA37" s="9" t="s">
        <v>60</v>
      </c>
      <c r="BC37" s="24">
        <f t="shared" si="66"/>
        <v>0</v>
      </c>
      <c r="BD37" s="24">
        <f t="shared" si="67"/>
        <v>0</v>
      </c>
      <c r="BE37" s="24">
        <v>0</v>
      </c>
      <c r="BF37" s="24">
        <f t="shared" si="68"/>
        <v>4.1999999999999997E-3</v>
      </c>
      <c r="BH37" s="24">
        <f t="shared" si="69"/>
        <v>0</v>
      </c>
      <c r="BI37" s="24">
        <f t="shared" si="70"/>
        <v>0</v>
      </c>
      <c r="BJ37" s="24">
        <f t="shared" si="71"/>
        <v>0</v>
      </c>
      <c r="BK37" s="24"/>
      <c r="BL37" s="24">
        <v>734</v>
      </c>
      <c r="BW37" s="24">
        <v>12</v>
      </c>
      <c r="BX37" s="4" t="s">
        <v>135</v>
      </c>
    </row>
    <row r="38" spans="1:76" ht="14.4" x14ac:dyDescent="0.3">
      <c r="A38" s="2" t="s">
        <v>136</v>
      </c>
      <c r="B38" s="3" t="s">
        <v>137</v>
      </c>
      <c r="C38" s="83" t="s">
        <v>138</v>
      </c>
      <c r="D38" s="78"/>
      <c r="E38" s="3" t="s">
        <v>57</v>
      </c>
      <c r="F38" s="24">
        <v>6</v>
      </c>
      <c r="G38" s="24">
        <v>0</v>
      </c>
      <c r="H38" s="24">
        <f t="shared" si="48"/>
        <v>0</v>
      </c>
      <c r="I38" s="24">
        <f t="shared" si="49"/>
        <v>0</v>
      </c>
      <c r="J38" s="24">
        <f t="shared" si="50"/>
        <v>0</v>
      </c>
      <c r="K38" s="24">
        <v>5.9999999999999995E-4</v>
      </c>
      <c r="L38" s="25">
        <f t="shared" si="51"/>
        <v>3.5999999999999999E-3</v>
      </c>
      <c r="Z38" s="24">
        <f t="shared" si="52"/>
        <v>0</v>
      </c>
      <c r="AB38" s="24">
        <f t="shared" si="53"/>
        <v>0</v>
      </c>
      <c r="AC38" s="24">
        <f t="shared" si="54"/>
        <v>0</v>
      </c>
      <c r="AD38" s="24">
        <f t="shared" si="55"/>
        <v>0</v>
      </c>
      <c r="AE38" s="24">
        <f t="shared" si="56"/>
        <v>0</v>
      </c>
      <c r="AF38" s="24">
        <f t="shared" si="57"/>
        <v>0</v>
      </c>
      <c r="AG38" s="24">
        <f t="shared" si="58"/>
        <v>0</v>
      </c>
      <c r="AH38" s="24">
        <f t="shared" si="59"/>
        <v>0</v>
      </c>
      <c r="AI38" s="9" t="s">
        <v>51</v>
      </c>
      <c r="AJ38" s="24">
        <f t="shared" si="60"/>
        <v>0</v>
      </c>
      <c r="AK38" s="24">
        <f t="shared" si="61"/>
        <v>0</v>
      </c>
      <c r="AL38" s="24">
        <f t="shared" si="62"/>
        <v>0</v>
      </c>
      <c r="AN38" s="24">
        <v>12</v>
      </c>
      <c r="AO38" s="24">
        <f>G38*0.981392557</f>
        <v>0</v>
      </c>
      <c r="AP38" s="24">
        <f>G38*(1-0.981392557)</f>
        <v>0</v>
      </c>
      <c r="AQ38" s="26" t="s">
        <v>69</v>
      </c>
      <c r="AV38" s="24">
        <f t="shared" si="63"/>
        <v>0</v>
      </c>
      <c r="AW38" s="24">
        <f t="shared" si="64"/>
        <v>0</v>
      </c>
      <c r="AX38" s="24">
        <f t="shared" si="65"/>
        <v>0</v>
      </c>
      <c r="AY38" s="26" t="s">
        <v>117</v>
      </c>
      <c r="AZ38" s="26" t="s">
        <v>93</v>
      </c>
      <c r="BA38" s="9" t="s">
        <v>60</v>
      </c>
      <c r="BC38" s="24">
        <f t="shared" si="66"/>
        <v>0</v>
      </c>
      <c r="BD38" s="24">
        <f t="shared" si="67"/>
        <v>0</v>
      </c>
      <c r="BE38" s="24">
        <v>0</v>
      </c>
      <c r="BF38" s="24">
        <f t="shared" si="68"/>
        <v>3.5999999999999999E-3</v>
      </c>
      <c r="BH38" s="24">
        <f t="shared" si="69"/>
        <v>0</v>
      </c>
      <c r="BI38" s="24">
        <f t="shared" si="70"/>
        <v>0</v>
      </c>
      <c r="BJ38" s="24">
        <f t="shared" si="71"/>
        <v>0</v>
      </c>
      <c r="BK38" s="24"/>
      <c r="BL38" s="24">
        <v>734</v>
      </c>
      <c r="BW38" s="24">
        <v>12</v>
      </c>
      <c r="BX38" s="4" t="s">
        <v>138</v>
      </c>
    </row>
    <row r="39" spans="1:76" ht="14.4" x14ac:dyDescent="0.3">
      <c r="A39" s="31"/>
      <c r="C39" s="32" t="s">
        <v>139</v>
      </c>
      <c r="D39" s="32" t="s">
        <v>51</v>
      </c>
      <c r="F39" s="33">
        <v>0</v>
      </c>
      <c r="L39" s="34"/>
    </row>
    <row r="40" spans="1:76" ht="14.4" x14ac:dyDescent="0.3">
      <c r="A40" s="2" t="s">
        <v>140</v>
      </c>
      <c r="B40" s="3" t="s">
        <v>141</v>
      </c>
      <c r="C40" s="83" t="s">
        <v>142</v>
      </c>
      <c r="D40" s="78"/>
      <c r="E40" s="3" t="s">
        <v>57</v>
      </c>
      <c r="F40" s="24">
        <v>30</v>
      </c>
      <c r="G40" s="24">
        <v>0</v>
      </c>
      <c r="H40" s="24">
        <f>ROUND(F40*AO40,2)</f>
        <v>0</v>
      </c>
      <c r="I40" s="24">
        <f>ROUND(F40*AP40,2)</f>
        <v>0</v>
      </c>
      <c r="J40" s="24">
        <f>ROUND(F40*G40,2)</f>
        <v>0</v>
      </c>
      <c r="K40" s="24">
        <v>0</v>
      </c>
      <c r="L40" s="25">
        <f>F40*K40</f>
        <v>0</v>
      </c>
      <c r="Z40" s="24">
        <f>ROUND(IF(AQ40="5",BJ40,0),2)</f>
        <v>0</v>
      </c>
      <c r="AB40" s="24">
        <f>ROUND(IF(AQ40="1",BH40,0),2)</f>
        <v>0</v>
      </c>
      <c r="AC40" s="24">
        <f>ROUND(IF(AQ40="1",BI40,0),2)</f>
        <v>0</v>
      </c>
      <c r="AD40" s="24">
        <f>ROUND(IF(AQ40="7",BH40,0),2)</f>
        <v>0</v>
      </c>
      <c r="AE40" s="24">
        <f>ROUND(IF(AQ40="7",BI40,0),2)</f>
        <v>0</v>
      </c>
      <c r="AF40" s="24">
        <f>ROUND(IF(AQ40="2",BH40,0),2)</f>
        <v>0</v>
      </c>
      <c r="AG40" s="24">
        <f>ROUND(IF(AQ40="2",BI40,0),2)</f>
        <v>0</v>
      </c>
      <c r="AH40" s="24">
        <f>ROUND(IF(AQ40="0",BJ40,0),2)</f>
        <v>0</v>
      </c>
      <c r="AI40" s="9" t="s">
        <v>51</v>
      </c>
      <c r="AJ40" s="24">
        <f>IF(AN40=0,J40,0)</f>
        <v>0</v>
      </c>
      <c r="AK40" s="24">
        <f>IF(AN40=12,J40,0)</f>
        <v>0</v>
      </c>
      <c r="AL40" s="24">
        <f>IF(AN40=21,J40,0)</f>
        <v>0</v>
      </c>
      <c r="AN40" s="24">
        <v>12</v>
      </c>
      <c r="AO40" s="24">
        <f>G40*0</f>
        <v>0</v>
      </c>
      <c r="AP40" s="24">
        <f>G40*(1-0)</f>
        <v>0</v>
      </c>
      <c r="AQ40" s="26" t="s">
        <v>69</v>
      </c>
      <c r="AV40" s="24">
        <f>ROUND(AW40+AX40,2)</f>
        <v>0</v>
      </c>
      <c r="AW40" s="24">
        <f>ROUND(F40*AO40,2)</f>
        <v>0</v>
      </c>
      <c r="AX40" s="24">
        <f>ROUND(F40*AP40,2)</f>
        <v>0</v>
      </c>
      <c r="AY40" s="26" t="s">
        <v>117</v>
      </c>
      <c r="AZ40" s="26" t="s">
        <v>93</v>
      </c>
      <c r="BA40" s="9" t="s">
        <v>60</v>
      </c>
      <c r="BC40" s="24">
        <f>AW40+AX40</f>
        <v>0</v>
      </c>
      <c r="BD40" s="24">
        <f>G40/(100-BE40)*100</f>
        <v>0</v>
      </c>
      <c r="BE40" s="24">
        <v>0</v>
      </c>
      <c r="BF40" s="24">
        <f>L40</f>
        <v>0</v>
      </c>
      <c r="BH40" s="24">
        <f>F40*AO40</f>
        <v>0</v>
      </c>
      <c r="BI40" s="24">
        <f>F40*AP40</f>
        <v>0</v>
      </c>
      <c r="BJ40" s="24">
        <f>F40*G40</f>
        <v>0</v>
      </c>
      <c r="BK40" s="24"/>
      <c r="BL40" s="24">
        <v>734</v>
      </c>
      <c r="BW40" s="24">
        <v>12</v>
      </c>
      <c r="BX40" s="4" t="s">
        <v>142</v>
      </c>
    </row>
    <row r="41" spans="1:76" ht="14.4" x14ac:dyDescent="0.3">
      <c r="A41" s="27" t="s">
        <v>51</v>
      </c>
      <c r="B41" s="28" t="s">
        <v>143</v>
      </c>
      <c r="C41" s="101" t="s">
        <v>144</v>
      </c>
      <c r="D41" s="102"/>
      <c r="E41" s="29" t="s">
        <v>18</v>
      </c>
      <c r="F41" s="29" t="s">
        <v>18</v>
      </c>
      <c r="G41" s="29" t="s">
        <v>18</v>
      </c>
      <c r="H41" s="1">
        <f>SUM(H42:H54)</f>
        <v>0</v>
      </c>
      <c r="I41" s="1">
        <f>SUM(I42:I54)</f>
        <v>0</v>
      </c>
      <c r="J41" s="1">
        <f>SUM(J42:J54)</f>
        <v>0</v>
      </c>
      <c r="K41" s="9" t="s">
        <v>51</v>
      </c>
      <c r="L41" s="30">
        <f>SUM(L42:L54)</f>
        <v>0.57938000000000001</v>
      </c>
      <c r="AI41" s="9" t="s">
        <v>51</v>
      </c>
      <c r="AS41" s="1">
        <f>SUM(AJ42:AJ54)</f>
        <v>0</v>
      </c>
      <c r="AT41" s="1">
        <f>SUM(AK42:AK54)</f>
        <v>0</v>
      </c>
      <c r="AU41" s="1">
        <f>SUM(AL42:AL54)</f>
        <v>0</v>
      </c>
    </row>
    <row r="42" spans="1:76" ht="14.4" x14ac:dyDescent="0.3">
      <c r="A42" s="2" t="s">
        <v>145</v>
      </c>
      <c r="B42" s="3" t="s">
        <v>146</v>
      </c>
      <c r="C42" s="83" t="s">
        <v>147</v>
      </c>
      <c r="D42" s="78"/>
      <c r="E42" s="3" t="s">
        <v>57</v>
      </c>
      <c r="F42" s="24">
        <v>6</v>
      </c>
      <c r="G42" s="24">
        <v>0</v>
      </c>
      <c r="H42" s="24">
        <f t="shared" ref="H42:H54" si="72">ROUND(F42*AO42,2)</f>
        <v>0</v>
      </c>
      <c r="I42" s="24">
        <f t="shared" ref="I42:I54" si="73">ROUND(F42*AP42,2)</f>
        <v>0</v>
      </c>
      <c r="J42" s="24">
        <f t="shared" ref="J42:J54" si="74">ROUND(F42*G42,2)</f>
        <v>0</v>
      </c>
      <c r="K42" s="24">
        <v>0</v>
      </c>
      <c r="L42" s="25">
        <f t="shared" ref="L42:L54" si="75">F42*K42</f>
        <v>0</v>
      </c>
      <c r="Z42" s="24">
        <f t="shared" ref="Z42:Z54" si="76">ROUND(IF(AQ42="5",BJ42,0),2)</f>
        <v>0</v>
      </c>
      <c r="AB42" s="24">
        <f t="shared" ref="AB42:AB54" si="77">ROUND(IF(AQ42="1",BH42,0),2)</f>
        <v>0</v>
      </c>
      <c r="AC42" s="24">
        <f t="shared" ref="AC42:AC54" si="78">ROUND(IF(AQ42="1",BI42,0),2)</f>
        <v>0</v>
      </c>
      <c r="AD42" s="24">
        <f t="shared" ref="AD42:AD54" si="79">ROUND(IF(AQ42="7",BH42,0),2)</f>
        <v>0</v>
      </c>
      <c r="AE42" s="24">
        <f t="shared" ref="AE42:AE54" si="80">ROUND(IF(AQ42="7",BI42,0),2)</f>
        <v>0</v>
      </c>
      <c r="AF42" s="24">
        <f t="shared" ref="AF42:AF54" si="81">ROUND(IF(AQ42="2",BH42,0),2)</f>
        <v>0</v>
      </c>
      <c r="AG42" s="24">
        <f t="shared" ref="AG42:AG54" si="82">ROUND(IF(AQ42="2",BI42,0),2)</f>
        <v>0</v>
      </c>
      <c r="AH42" s="24">
        <f t="shared" ref="AH42:AH54" si="83">ROUND(IF(AQ42="0",BJ42,0),2)</f>
        <v>0</v>
      </c>
      <c r="AI42" s="9" t="s">
        <v>51</v>
      </c>
      <c r="AJ42" s="24">
        <f t="shared" ref="AJ42:AJ54" si="84">IF(AN42=0,J42,0)</f>
        <v>0</v>
      </c>
      <c r="AK42" s="24">
        <f t="shared" ref="AK42:AK54" si="85">IF(AN42=12,J42,0)</f>
        <v>0</v>
      </c>
      <c r="AL42" s="24">
        <f t="shared" ref="AL42:AL54" si="86">IF(AN42=21,J42,0)</f>
        <v>0</v>
      </c>
      <c r="AN42" s="24">
        <v>12</v>
      </c>
      <c r="AO42" s="24">
        <f>G42*0.008598131</f>
        <v>0</v>
      </c>
      <c r="AP42" s="24">
        <f>G42*(1-0.008598131)</f>
        <v>0</v>
      </c>
      <c r="AQ42" s="26" t="s">
        <v>69</v>
      </c>
      <c r="AV42" s="24">
        <f t="shared" ref="AV42:AV54" si="87">ROUND(AW42+AX42,2)</f>
        <v>0</v>
      </c>
      <c r="AW42" s="24">
        <f t="shared" ref="AW42:AW54" si="88">ROUND(F42*AO42,2)</f>
        <v>0</v>
      </c>
      <c r="AX42" s="24">
        <f t="shared" ref="AX42:AX54" si="89">ROUND(F42*AP42,2)</f>
        <v>0</v>
      </c>
      <c r="AY42" s="26" t="s">
        <v>148</v>
      </c>
      <c r="AZ42" s="26" t="s">
        <v>93</v>
      </c>
      <c r="BA42" s="9" t="s">
        <v>60</v>
      </c>
      <c r="BC42" s="24">
        <f t="shared" ref="BC42:BC54" si="90">AW42+AX42</f>
        <v>0</v>
      </c>
      <c r="BD42" s="24">
        <f t="shared" ref="BD42:BD54" si="91">G42/(100-BE42)*100</f>
        <v>0</v>
      </c>
      <c r="BE42" s="24">
        <v>0</v>
      </c>
      <c r="BF42" s="24">
        <f t="shared" ref="BF42:BF54" si="92">L42</f>
        <v>0</v>
      </c>
      <c r="BH42" s="24">
        <f t="shared" ref="BH42:BH54" si="93">F42*AO42</f>
        <v>0</v>
      </c>
      <c r="BI42" s="24">
        <f t="shared" ref="BI42:BI54" si="94">F42*AP42</f>
        <v>0</v>
      </c>
      <c r="BJ42" s="24">
        <f t="shared" ref="BJ42:BJ54" si="95">F42*G42</f>
        <v>0</v>
      </c>
      <c r="BK42" s="24"/>
      <c r="BL42" s="24">
        <v>735</v>
      </c>
      <c r="BW42" s="24">
        <v>12</v>
      </c>
      <c r="BX42" s="4" t="s">
        <v>147</v>
      </c>
    </row>
    <row r="43" spans="1:76" ht="14.4" x14ac:dyDescent="0.3">
      <c r="A43" s="2" t="s">
        <v>149</v>
      </c>
      <c r="B43" s="3" t="s">
        <v>150</v>
      </c>
      <c r="C43" s="83" t="s">
        <v>151</v>
      </c>
      <c r="D43" s="78"/>
      <c r="E43" s="3" t="s">
        <v>57</v>
      </c>
      <c r="F43" s="24">
        <v>18</v>
      </c>
      <c r="G43" s="24">
        <v>0</v>
      </c>
      <c r="H43" s="24">
        <f t="shared" si="72"/>
        <v>0</v>
      </c>
      <c r="I43" s="24">
        <f t="shared" si="73"/>
        <v>0</v>
      </c>
      <c r="J43" s="24">
        <f t="shared" si="74"/>
        <v>0</v>
      </c>
      <c r="K43" s="24">
        <v>0</v>
      </c>
      <c r="L43" s="25">
        <f t="shared" si="75"/>
        <v>0</v>
      </c>
      <c r="Z43" s="24">
        <f t="shared" si="76"/>
        <v>0</v>
      </c>
      <c r="AB43" s="24">
        <f t="shared" si="77"/>
        <v>0</v>
      </c>
      <c r="AC43" s="24">
        <f t="shared" si="78"/>
        <v>0</v>
      </c>
      <c r="AD43" s="24">
        <f t="shared" si="79"/>
        <v>0</v>
      </c>
      <c r="AE43" s="24">
        <f t="shared" si="80"/>
        <v>0</v>
      </c>
      <c r="AF43" s="24">
        <f t="shared" si="81"/>
        <v>0</v>
      </c>
      <c r="AG43" s="24">
        <f t="shared" si="82"/>
        <v>0</v>
      </c>
      <c r="AH43" s="24">
        <f t="shared" si="83"/>
        <v>0</v>
      </c>
      <c r="AI43" s="9" t="s">
        <v>51</v>
      </c>
      <c r="AJ43" s="24">
        <f t="shared" si="84"/>
        <v>0</v>
      </c>
      <c r="AK43" s="24">
        <f t="shared" si="85"/>
        <v>0</v>
      </c>
      <c r="AL43" s="24">
        <f t="shared" si="86"/>
        <v>0</v>
      </c>
      <c r="AN43" s="24">
        <v>12</v>
      </c>
      <c r="AO43" s="24">
        <f>G43*0.009407783</f>
        <v>0</v>
      </c>
      <c r="AP43" s="24">
        <f>G43*(1-0.009407783)</f>
        <v>0</v>
      </c>
      <c r="AQ43" s="26" t="s">
        <v>69</v>
      </c>
      <c r="AV43" s="24">
        <f t="shared" si="87"/>
        <v>0</v>
      </c>
      <c r="AW43" s="24">
        <f t="shared" si="88"/>
        <v>0</v>
      </c>
      <c r="AX43" s="24">
        <f t="shared" si="89"/>
        <v>0</v>
      </c>
      <c r="AY43" s="26" t="s">
        <v>148</v>
      </c>
      <c r="AZ43" s="26" t="s">
        <v>93</v>
      </c>
      <c r="BA43" s="9" t="s">
        <v>60</v>
      </c>
      <c r="BC43" s="24">
        <f t="shared" si="90"/>
        <v>0</v>
      </c>
      <c r="BD43" s="24">
        <f t="shared" si="91"/>
        <v>0</v>
      </c>
      <c r="BE43" s="24">
        <v>0</v>
      </c>
      <c r="BF43" s="24">
        <f t="shared" si="92"/>
        <v>0</v>
      </c>
      <c r="BH43" s="24">
        <f t="shared" si="93"/>
        <v>0</v>
      </c>
      <c r="BI43" s="24">
        <f t="shared" si="94"/>
        <v>0</v>
      </c>
      <c r="BJ43" s="24">
        <f t="shared" si="95"/>
        <v>0</v>
      </c>
      <c r="BK43" s="24"/>
      <c r="BL43" s="24">
        <v>735</v>
      </c>
      <c r="BW43" s="24">
        <v>12</v>
      </c>
      <c r="BX43" s="4" t="s">
        <v>151</v>
      </c>
    </row>
    <row r="44" spans="1:76" ht="14.4" x14ac:dyDescent="0.3">
      <c r="A44" s="2" t="s">
        <v>152</v>
      </c>
      <c r="B44" s="3" t="s">
        <v>153</v>
      </c>
      <c r="C44" s="83" t="s">
        <v>154</v>
      </c>
      <c r="D44" s="78"/>
      <c r="E44" s="3" t="s">
        <v>57</v>
      </c>
      <c r="F44" s="24">
        <v>30</v>
      </c>
      <c r="G44" s="24">
        <v>0</v>
      </c>
      <c r="H44" s="24">
        <f t="shared" si="72"/>
        <v>0</v>
      </c>
      <c r="I44" s="24">
        <f t="shared" si="73"/>
        <v>0</v>
      </c>
      <c r="J44" s="24">
        <f t="shared" si="74"/>
        <v>0</v>
      </c>
      <c r="K44" s="24">
        <v>0</v>
      </c>
      <c r="L44" s="25">
        <f t="shared" si="75"/>
        <v>0</v>
      </c>
      <c r="Z44" s="24">
        <f t="shared" si="76"/>
        <v>0</v>
      </c>
      <c r="AB44" s="24">
        <f t="shared" si="77"/>
        <v>0</v>
      </c>
      <c r="AC44" s="24">
        <f t="shared" si="78"/>
        <v>0</v>
      </c>
      <c r="AD44" s="24">
        <f t="shared" si="79"/>
        <v>0</v>
      </c>
      <c r="AE44" s="24">
        <f t="shared" si="80"/>
        <v>0</v>
      </c>
      <c r="AF44" s="24">
        <f t="shared" si="81"/>
        <v>0</v>
      </c>
      <c r="AG44" s="24">
        <f t="shared" si="82"/>
        <v>0</v>
      </c>
      <c r="AH44" s="24">
        <f t="shared" si="83"/>
        <v>0</v>
      </c>
      <c r="AI44" s="9" t="s">
        <v>51</v>
      </c>
      <c r="AJ44" s="24">
        <f t="shared" si="84"/>
        <v>0</v>
      </c>
      <c r="AK44" s="24">
        <f t="shared" si="85"/>
        <v>0</v>
      </c>
      <c r="AL44" s="24">
        <f t="shared" si="86"/>
        <v>0</v>
      </c>
      <c r="AN44" s="24">
        <v>12</v>
      </c>
      <c r="AO44" s="24">
        <f>G44*0</f>
        <v>0</v>
      </c>
      <c r="AP44" s="24">
        <f>G44*(1-0)</f>
        <v>0</v>
      </c>
      <c r="AQ44" s="26" t="s">
        <v>69</v>
      </c>
      <c r="AV44" s="24">
        <f t="shared" si="87"/>
        <v>0</v>
      </c>
      <c r="AW44" s="24">
        <f t="shared" si="88"/>
        <v>0</v>
      </c>
      <c r="AX44" s="24">
        <f t="shared" si="89"/>
        <v>0</v>
      </c>
      <c r="AY44" s="26" t="s">
        <v>148</v>
      </c>
      <c r="AZ44" s="26" t="s">
        <v>93</v>
      </c>
      <c r="BA44" s="9" t="s">
        <v>60</v>
      </c>
      <c r="BC44" s="24">
        <f t="shared" si="90"/>
        <v>0</v>
      </c>
      <c r="BD44" s="24">
        <f t="shared" si="91"/>
        <v>0</v>
      </c>
      <c r="BE44" s="24">
        <v>0</v>
      </c>
      <c r="BF44" s="24">
        <f t="shared" si="92"/>
        <v>0</v>
      </c>
      <c r="BH44" s="24">
        <f t="shared" si="93"/>
        <v>0</v>
      </c>
      <c r="BI44" s="24">
        <f t="shared" si="94"/>
        <v>0</v>
      </c>
      <c r="BJ44" s="24">
        <f t="shared" si="95"/>
        <v>0</v>
      </c>
      <c r="BK44" s="24"/>
      <c r="BL44" s="24">
        <v>735</v>
      </c>
      <c r="BW44" s="24">
        <v>12</v>
      </c>
      <c r="BX44" s="4" t="s">
        <v>154</v>
      </c>
    </row>
    <row r="45" spans="1:76" ht="14.4" x14ac:dyDescent="0.3">
      <c r="A45" s="2" t="s">
        <v>155</v>
      </c>
      <c r="B45" s="3" t="s">
        <v>156</v>
      </c>
      <c r="C45" s="83" t="s">
        <v>157</v>
      </c>
      <c r="D45" s="78"/>
      <c r="E45" s="3" t="s">
        <v>158</v>
      </c>
      <c r="F45" s="24">
        <v>90</v>
      </c>
      <c r="G45" s="24">
        <v>0</v>
      </c>
      <c r="H45" s="24">
        <f t="shared" si="72"/>
        <v>0</v>
      </c>
      <c r="I45" s="24">
        <f t="shared" si="73"/>
        <v>0</v>
      </c>
      <c r="J45" s="24">
        <f t="shared" si="74"/>
        <v>0</v>
      </c>
      <c r="K45" s="24">
        <v>0</v>
      </c>
      <c r="L45" s="25">
        <f t="shared" si="75"/>
        <v>0</v>
      </c>
      <c r="Z45" s="24">
        <f t="shared" si="76"/>
        <v>0</v>
      </c>
      <c r="AB45" s="24">
        <f t="shared" si="77"/>
        <v>0</v>
      </c>
      <c r="AC45" s="24">
        <f t="shared" si="78"/>
        <v>0</v>
      </c>
      <c r="AD45" s="24">
        <f t="shared" si="79"/>
        <v>0</v>
      </c>
      <c r="AE45" s="24">
        <f t="shared" si="80"/>
        <v>0</v>
      </c>
      <c r="AF45" s="24">
        <f t="shared" si="81"/>
        <v>0</v>
      </c>
      <c r="AG45" s="24">
        <f t="shared" si="82"/>
        <v>0</v>
      </c>
      <c r="AH45" s="24">
        <f t="shared" si="83"/>
        <v>0</v>
      </c>
      <c r="AI45" s="9" t="s">
        <v>51</v>
      </c>
      <c r="AJ45" s="24">
        <f t="shared" si="84"/>
        <v>0</v>
      </c>
      <c r="AK45" s="24">
        <f t="shared" si="85"/>
        <v>0</v>
      </c>
      <c r="AL45" s="24">
        <f t="shared" si="86"/>
        <v>0</v>
      </c>
      <c r="AN45" s="24">
        <v>12</v>
      </c>
      <c r="AO45" s="24">
        <f>G45*0</f>
        <v>0</v>
      </c>
      <c r="AP45" s="24">
        <f>G45*(1-0)</f>
        <v>0</v>
      </c>
      <c r="AQ45" s="26" t="s">
        <v>69</v>
      </c>
      <c r="AV45" s="24">
        <f t="shared" si="87"/>
        <v>0</v>
      </c>
      <c r="AW45" s="24">
        <f t="shared" si="88"/>
        <v>0</v>
      </c>
      <c r="AX45" s="24">
        <f t="shared" si="89"/>
        <v>0</v>
      </c>
      <c r="AY45" s="26" t="s">
        <v>148</v>
      </c>
      <c r="AZ45" s="26" t="s">
        <v>93</v>
      </c>
      <c r="BA45" s="9" t="s">
        <v>60</v>
      </c>
      <c r="BC45" s="24">
        <f t="shared" si="90"/>
        <v>0</v>
      </c>
      <c r="BD45" s="24">
        <f t="shared" si="91"/>
        <v>0</v>
      </c>
      <c r="BE45" s="24">
        <v>0</v>
      </c>
      <c r="BF45" s="24">
        <f t="shared" si="92"/>
        <v>0</v>
      </c>
      <c r="BH45" s="24">
        <f t="shared" si="93"/>
        <v>0</v>
      </c>
      <c r="BI45" s="24">
        <f t="shared" si="94"/>
        <v>0</v>
      </c>
      <c r="BJ45" s="24">
        <f t="shared" si="95"/>
        <v>0</v>
      </c>
      <c r="BK45" s="24"/>
      <c r="BL45" s="24">
        <v>735</v>
      </c>
      <c r="BW45" s="24">
        <v>12</v>
      </c>
      <c r="BX45" s="4" t="s">
        <v>157</v>
      </c>
    </row>
    <row r="46" spans="1:76" ht="14.4" x14ac:dyDescent="0.3">
      <c r="A46" s="2" t="s">
        <v>159</v>
      </c>
      <c r="B46" s="3" t="s">
        <v>160</v>
      </c>
      <c r="C46" s="83" t="s">
        <v>161</v>
      </c>
      <c r="D46" s="78"/>
      <c r="E46" s="3" t="s">
        <v>57</v>
      </c>
      <c r="F46" s="24">
        <v>2</v>
      </c>
      <c r="G46" s="24">
        <v>0</v>
      </c>
      <c r="H46" s="24">
        <f t="shared" si="72"/>
        <v>0</v>
      </c>
      <c r="I46" s="24">
        <f t="shared" si="73"/>
        <v>0</v>
      </c>
      <c r="J46" s="24">
        <f t="shared" si="74"/>
        <v>0</v>
      </c>
      <c r="K46" s="24">
        <v>8.6400000000000001E-3</v>
      </c>
      <c r="L46" s="25">
        <f t="shared" si="75"/>
        <v>1.728E-2</v>
      </c>
      <c r="Z46" s="24">
        <f t="shared" si="76"/>
        <v>0</v>
      </c>
      <c r="AB46" s="24">
        <f t="shared" si="77"/>
        <v>0</v>
      </c>
      <c r="AC46" s="24">
        <f t="shared" si="78"/>
        <v>0</v>
      </c>
      <c r="AD46" s="24">
        <f t="shared" si="79"/>
        <v>0</v>
      </c>
      <c r="AE46" s="24">
        <f t="shared" si="80"/>
        <v>0</v>
      </c>
      <c r="AF46" s="24">
        <f t="shared" si="81"/>
        <v>0</v>
      </c>
      <c r="AG46" s="24">
        <f t="shared" si="82"/>
        <v>0</v>
      </c>
      <c r="AH46" s="24">
        <f t="shared" si="83"/>
        <v>0</v>
      </c>
      <c r="AI46" s="9" t="s">
        <v>51</v>
      </c>
      <c r="AJ46" s="24">
        <f t="shared" si="84"/>
        <v>0</v>
      </c>
      <c r="AK46" s="24">
        <f t="shared" si="85"/>
        <v>0</v>
      </c>
      <c r="AL46" s="24">
        <f t="shared" si="86"/>
        <v>0</v>
      </c>
      <c r="AN46" s="24">
        <v>12</v>
      </c>
      <c r="AO46" s="24">
        <f>G46*0.883464424</f>
        <v>0</v>
      </c>
      <c r="AP46" s="24">
        <f>G46*(1-0.883464424)</f>
        <v>0</v>
      </c>
      <c r="AQ46" s="26" t="s">
        <v>69</v>
      </c>
      <c r="AV46" s="24">
        <f t="shared" si="87"/>
        <v>0</v>
      </c>
      <c r="AW46" s="24">
        <f t="shared" si="88"/>
        <v>0</v>
      </c>
      <c r="AX46" s="24">
        <f t="shared" si="89"/>
        <v>0</v>
      </c>
      <c r="AY46" s="26" t="s">
        <v>148</v>
      </c>
      <c r="AZ46" s="26" t="s">
        <v>93</v>
      </c>
      <c r="BA46" s="9" t="s">
        <v>60</v>
      </c>
      <c r="BC46" s="24">
        <f t="shared" si="90"/>
        <v>0</v>
      </c>
      <c r="BD46" s="24">
        <f t="shared" si="91"/>
        <v>0</v>
      </c>
      <c r="BE46" s="24">
        <v>0</v>
      </c>
      <c r="BF46" s="24">
        <f t="shared" si="92"/>
        <v>1.728E-2</v>
      </c>
      <c r="BH46" s="24">
        <f t="shared" si="93"/>
        <v>0</v>
      </c>
      <c r="BI46" s="24">
        <f t="shared" si="94"/>
        <v>0</v>
      </c>
      <c r="BJ46" s="24">
        <f t="shared" si="95"/>
        <v>0</v>
      </c>
      <c r="BK46" s="24"/>
      <c r="BL46" s="24">
        <v>735</v>
      </c>
      <c r="BW46" s="24">
        <v>12</v>
      </c>
      <c r="BX46" s="4" t="s">
        <v>161</v>
      </c>
    </row>
    <row r="47" spans="1:76" ht="14.4" x14ac:dyDescent="0.3">
      <c r="A47" s="2" t="s">
        <v>162</v>
      </c>
      <c r="B47" s="3" t="s">
        <v>163</v>
      </c>
      <c r="C47" s="83" t="s">
        <v>164</v>
      </c>
      <c r="D47" s="78"/>
      <c r="E47" s="3" t="s">
        <v>57</v>
      </c>
      <c r="F47" s="24">
        <v>4</v>
      </c>
      <c r="G47" s="24">
        <v>0</v>
      </c>
      <c r="H47" s="24">
        <f t="shared" si="72"/>
        <v>0</v>
      </c>
      <c r="I47" s="24">
        <f t="shared" si="73"/>
        <v>0</v>
      </c>
      <c r="J47" s="24">
        <f t="shared" si="74"/>
        <v>0</v>
      </c>
      <c r="K47" s="24">
        <v>1.0800000000000001E-2</v>
      </c>
      <c r="L47" s="25">
        <f t="shared" si="75"/>
        <v>4.3200000000000002E-2</v>
      </c>
      <c r="Z47" s="24">
        <f t="shared" si="76"/>
        <v>0</v>
      </c>
      <c r="AB47" s="24">
        <f t="shared" si="77"/>
        <v>0</v>
      </c>
      <c r="AC47" s="24">
        <f t="shared" si="78"/>
        <v>0</v>
      </c>
      <c r="AD47" s="24">
        <f t="shared" si="79"/>
        <v>0</v>
      </c>
      <c r="AE47" s="24">
        <f t="shared" si="80"/>
        <v>0</v>
      </c>
      <c r="AF47" s="24">
        <f t="shared" si="81"/>
        <v>0</v>
      </c>
      <c r="AG47" s="24">
        <f t="shared" si="82"/>
        <v>0</v>
      </c>
      <c r="AH47" s="24">
        <f t="shared" si="83"/>
        <v>0</v>
      </c>
      <c r="AI47" s="9" t="s">
        <v>51</v>
      </c>
      <c r="AJ47" s="24">
        <f t="shared" si="84"/>
        <v>0</v>
      </c>
      <c r="AK47" s="24">
        <f t="shared" si="85"/>
        <v>0</v>
      </c>
      <c r="AL47" s="24">
        <f t="shared" si="86"/>
        <v>0</v>
      </c>
      <c r="AN47" s="24">
        <v>12</v>
      </c>
      <c r="AO47" s="24">
        <f>G47*0.889198032</f>
        <v>0</v>
      </c>
      <c r="AP47" s="24">
        <f>G47*(1-0.889198032)</f>
        <v>0</v>
      </c>
      <c r="AQ47" s="26" t="s">
        <v>69</v>
      </c>
      <c r="AV47" s="24">
        <f t="shared" si="87"/>
        <v>0</v>
      </c>
      <c r="AW47" s="24">
        <f t="shared" si="88"/>
        <v>0</v>
      </c>
      <c r="AX47" s="24">
        <f t="shared" si="89"/>
        <v>0</v>
      </c>
      <c r="AY47" s="26" t="s">
        <v>148</v>
      </c>
      <c r="AZ47" s="26" t="s">
        <v>93</v>
      </c>
      <c r="BA47" s="9" t="s">
        <v>60</v>
      </c>
      <c r="BC47" s="24">
        <f t="shared" si="90"/>
        <v>0</v>
      </c>
      <c r="BD47" s="24">
        <f t="shared" si="91"/>
        <v>0</v>
      </c>
      <c r="BE47" s="24">
        <v>0</v>
      </c>
      <c r="BF47" s="24">
        <f t="shared" si="92"/>
        <v>4.3200000000000002E-2</v>
      </c>
      <c r="BH47" s="24">
        <f t="shared" si="93"/>
        <v>0</v>
      </c>
      <c r="BI47" s="24">
        <f t="shared" si="94"/>
        <v>0</v>
      </c>
      <c r="BJ47" s="24">
        <f t="shared" si="95"/>
        <v>0</v>
      </c>
      <c r="BK47" s="24"/>
      <c r="BL47" s="24">
        <v>735</v>
      </c>
      <c r="BW47" s="24">
        <v>12</v>
      </c>
      <c r="BX47" s="4" t="s">
        <v>164</v>
      </c>
    </row>
    <row r="48" spans="1:76" ht="14.4" x14ac:dyDescent="0.3">
      <c r="A48" s="2" t="s">
        <v>165</v>
      </c>
      <c r="B48" s="3" t="s">
        <v>166</v>
      </c>
      <c r="C48" s="83" t="s">
        <v>167</v>
      </c>
      <c r="D48" s="78"/>
      <c r="E48" s="3" t="s">
        <v>57</v>
      </c>
      <c r="F48" s="24">
        <v>2</v>
      </c>
      <c r="G48" s="24">
        <v>0</v>
      </c>
      <c r="H48" s="24">
        <f t="shared" si="72"/>
        <v>0</v>
      </c>
      <c r="I48" s="24">
        <f t="shared" si="73"/>
        <v>0</v>
      </c>
      <c r="J48" s="24">
        <f t="shared" si="74"/>
        <v>0</v>
      </c>
      <c r="K48" s="24">
        <v>1.83E-2</v>
      </c>
      <c r="L48" s="25">
        <f t="shared" si="75"/>
        <v>3.6600000000000001E-2</v>
      </c>
      <c r="Z48" s="24">
        <f t="shared" si="76"/>
        <v>0</v>
      </c>
      <c r="AB48" s="24">
        <f t="shared" si="77"/>
        <v>0</v>
      </c>
      <c r="AC48" s="24">
        <f t="shared" si="78"/>
        <v>0</v>
      </c>
      <c r="AD48" s="24">
        <f t="shared" si="79"/>
        <v>0</v>
      </c>
      <c r="AE48" s="24">
        <f t="shared" si="80"/>
        <v>0</v>
      </c>
      <c r="AF48" s="24">
        <f t="shared" si="81"/>
        <v>0</v>
      </c>
      <c r="AG48" s="24">
        <f t="shared" si="82"/>
        <v>0</v>
      </c>
      <c r="AH48" s="24">
        <f t="shared" si="83"/>
        <v>0</v>
      </c>
      <c r="AI48" s="9" t="s">
        <v>51</v>
      </c>
      <c r="AJ48" s="24">
        <f t="shared" si="84"/>
        <v>0</v>
      </c>
      <c r="AK48" s="24">
        <f t="shared" si="85"/>
        <v>0</v>
      </c>
      <c r="AL48" s="24">
        <f t="shared" si="86"/>
        <v>0</v>
      </c>
      <c r="AN48" s="24">
        <v>12</v>
      </c>
      <c r="AO48" s="24">
        <f>G48*0.904683908</f>
        <v>0</v>
      </c>
      <c r="AP48" s="24">
        <f>G48*(1-0.904683908)</f>
        <v>0</v>
      </c>
      <c r="AQ48" s="26" t="s">
        <v>69</v>
      </c>
      <c r="AV48" s="24">
        <f t="shared" si="87"/>
        <v>0</v>
      </c>
      <c r="AW48" s="24">
        <f t="shared" si="88"/>
        <v>0</v>
      </c>
      <c r="AX48" s="24">
        <f t="shared" si="89"/>
        <v>0</v>
      </c>
      <c r="AY48" s="26" t="s">
        <v>148</v>
      </c>
      <c r="AZ48" s="26" t="s">
        <v>93</v>
      </c>
      <c r="BA48" s="9" t="s">
        <v>60</v>
      </c>
      <c r="BC48" s="24">
        <f t="shared" si="90"/>
        <v>0</v>
      </c>
      <c r="BD48" s="24">
        <f t="shared" si="91"/>
        <v>0</v>
      </c>
      <c r="BE48" s="24">
        <v>0</v>
      </c>
      <c r="BF48" s="24">
        <f t="shared" si="92"/>
        <v>3.6600000000000001E-2</v>
      </c>
      <c r="BH48" s="24">
        <f t="shared" si="93"/>
        <v>0</v>
      </c>
      <c r="BI48" s="24">
        <f t="shared" si="94"/>
        <v>0</v>
      </c>
      <c r="BJ48" s="24">
        <f t="shared" si="95"/>
        <v>0</v>
      </c>
      <c r="BK48" s="24"/>
      <c r="BL48" s="24">
        <v>735</v>
      </c>
      <c r="BW48" s="24">
        <v>12</v>
      </c>
      <c r="BX48" s="4" t="s">
        <v>167</v>
      </c>
    </row>
    <row r="49" spans="1:76" ht="14.4" x14ac:dyDescent="0.3">
      <c r="A49" s="2" t="s">
        <v>168</v>
      </c>
      <c r="B49" s="3" t="s">
        <v>169</v>
      </c>
      <c r="C49" s="83" t="s">
        <v>170</v>
      </c>
      <c r="D49" s="78"/>
      <c r="E49" s="3" t="s">
        <v>57</v>
      </c>
      <c r="F49" s="24">
        <v>6</v>
      </c>
      <c r="G49" s="24">
        <v>0</v>
      </c>
      <c r="H49" s="24">
        <f t="shared" si="72"/>
        <v>0</v>
      </c>
      <c r="I49" s="24">
        <f t="shared" si="73"/>
        <v>0</v>
      </c>
      <c r="J49" s="24">
        <f t="shared" si="74"/>
        <v>0</v>
      </c>
      <c r="K49" s="24">
        <v>2.1350000000000001E-2</v>
      </c>
      <c r="L49" s="25">
        <f t="shared" si="75"/>
        <v>0.12809999999999999</v>
      </c>
      <c r="Z49" s="24">
        <f t="shared" si="76"/>
        <v>0</v>
      </c>
      <c r="AB49" s="24">
        <f t="shared" si="77"/>
        <v>0</v>
      </c>
      <c r="AC49" s="24">
        <f t="shared" si="78"/>
        <v>0</v>
      </c>
      <c r="AD49" s="24">
        <f t="shared" si="79"/>
        <v>0</v>
      </c>
      <c r="AE49" s="24">
        <f t="shared" si="80"/>
        <v>0</v>
      </c>
      <c r="AF49" s="24">
        <f t="shared" si="81"/>
        <v>0</v>
      </c>
      <c r="AG49" s="24">
        <f t="shared" si="82"/>
        <v>0</v>
      </c>
      <c r="AH49" s="24">
        <f t="shared" si="83"/>
        <v>0</v>
      </c>
      <c r="AI49" s="9" t="s">
        <v>51</v>
      </c>
      <c r="AJ49" s="24">
        <f t="shared" si="84"/>
        <v>0</v>
      </c>
      <c r="AK49" s="24">
        <f t="shared" si="85"/>
        <v>0</v>
      </c>
      <c r="AL49" s="24">
        <f t="shared" si="86"/>
        <v>0</v>
      </c>
      <c r="AN49" s="24">
        <v>12</v>
      </c>
      <c r="AO49" s="24">
        <f>G49*0.909371585</f>
        <v>0</v>
      </c>
      <c r="AP49" s="24">
        <f>G49*(1-0.909371585)</f>
        <v>0</v>
      </c>
      <c r="AQ49" s="26" t="s">
        <v>69</v>
      </c>
      <c r="AV49" s="24">
        <f t="shared" si="87"/>
        <v>0</v>
      </c>
      <c r="AW49" s="24">
        <f t="shared" si="88"/>
        <v>0</v>
      </c>
      <c r="AX49" s="24">
        <f t="shared" si="89"/>
        <v>0</v>
      </c>
      <c r="AY49" s="26" t="s">
        <v>148</v>
      </c>
      <c r="AZ49" s="26" t="s">
        <v>93</v>
      </c>
      <c r="BA49" s="9" t="s">
        <v>60</v>
      </c>
      <c r="BC49" s="24">
        <f t="shared" si="90"/>
        <v>0</v>
      </c>
      <c r="BD49" s="24">
        <f t="shared" si="91"/>
        <v>0</v>
      </c>
      <c r="BE49" s="24">
        <v>0</v>
      </c>
      <c r="BF49" s="24">
        <f t="shared" si="92"/>
        <v>0.12809999999999999</v>
      </c>
      <c r="BH49" s="24">
        <f t="shared" si="93"/>
        <v>0</v>
      </c>
      <c r="BI49" s="24">
        <f t="shared" si="94"/>
        <v>0</v>
      </c>
      <c r="BJ49" s="24">
        <f t="shared" si="95"/>
        <v>0</v>
      </c>
      <c r="BK49" s="24"/>
      <c r="BL49" s="24">
        <v>735</v>
      </c>
      <c r="BW49" s="24">
        <v>12</v>
      </c>
      <c r="BX49" s="4" t="s">
        <v>170</v>
      </c>
    </row>
    <row r="50" spans="1:76" ht="14.4" x14ac:dyDescent="0.3">
      <c r="A50" s="2" t="s">
        <v>171</v>
      </c>
      <c r="B50" s="3" t="s">
        <v>172</v>
      </c>
      <c r="C50" s="83" t="s">
        <v>173</v>
      </c>
      <c r="D50" s="78"/>
      <c r="E50" s="3" t="s">
        <v>57</v>
      </c>
      <c r="F50" s="24">
        <v>4</v>
      </c>
      <c r="G50" s="24">
        <v>0</v>
      </c>
      <c r="H50" s="24">
        <f t="shared" si="72"/>
        <v>0</v>
      </c>
      <c r="I50" s="24">
        <f t="shared" si="73"/>
        <v>0</v>
      </c>
      <c r="J50" s="24">
        <f t="shared" si="74"/>
        <v>0</v>
      </c>
      <c r="K50" s="24">
        <v>2.4400000000000002E-2</v>
      </c>
      <c r="L50" s="25">
        <f t="shared" si="75"/>
        <v>9.7600000000000006E-2</v>
      </c>
      <c r="Z50" s="24">
        <f t="shared" si="76"/>
        <v>0</v>
      </c>
      <c r="AB50" s="24">
        <f t="shared" si="77"/>
        <v>0</v>
      </c>
      <c r="AC50" s="24">
        <f t="shared" si="78"/>
        <v>0</v>
      </c>
      <c r="AD50" s="24">
        <f t="shared" si="79"/>
        <v>0</v>
      </c>
      <c r="AE50" s="24">
        <f t="shared" si="80"/>
        <v>0</v>
      </c>
      <c r="AF50" s="24">
        <f t="shared" si="81"/>
        <v>0</v>
      </c>
      <c r="AG50" s="24">
        <f t="shared" si="82"/>
        <v>0</v>
      </c>
      <c r="AH50" s="24">
        <f t="shared" si="83"/>
        <v>0</v>
      </c>
      <c r="AI50" s="9" t="s">
        <v>51</v>
      </c>
      <c r="AJ50" s="24">
        <f t="shared" si="84"/>
        <v>0</v>
      </c>
      <c r="AK50" s="24">
        <f t="shared" si="85"/>
        <v>0</v>
      </c>
      <c r="AL50" s="24">
        <f t="shared" si="86"/>
        <v>0</v>
      </c>
      <c r="AN50" s="24">
        <v>12</v>
      </c>
      <c r="AO50" s="24">
        <f>G50*0.912001736</f>
        <v>0</v>
      </c>
      <c r="AP50" s="24">
        <f>G50*(1-0.912001736)</f>
        <v>0</v>
      </c>
      <c r="AQ50" s="26" t="s">
        <v>69</v>
      </c>
      <c r="AV50" s="24">
        <f t="shared" si="87"/>
        <v>0</v>
      </c>
      <c r="AW50" s="24">
        <f t="shared" si="88"/>
        <v>0</v>
      </c>
      <c r="AX50" s="24">
        <f t="shared" si="89"/>
        <v>0</v>
      </c>
      <c r="AY50" s="26" t="s">
        <v>148</v>
      </c>
      <c r="AZ50" s="26" t="s">
        <v>93</v>
      </c>
      <c r="BA50" s="9" t="s">
        <v>60</v>
      </c>
      <c r="BC50" s="24">
        <f t="shared" si="90"/>
        <v>0</v>
      </c>
      <c r="BD50" s="24">
        <f t="shared" si="91"/>
        <v>0</v>
      </c>
      <c r="BE50" s="24">
        <v>0</v>
      </c>
      <c r="BF50" s="24">
        <f t="shared" si="92"/>
        <v>9.7600000000000006E-2</v>
      </c>
      <c r="BH50" s="24">
        <f t="shared" si="93"/>
        <v>0</v>
      </c>
      <c r="BI50" s="24">
        <f t="shared" si="94"/>
        <v>0</v>
      </c>
      <c r="BJ50" s="24">
        <f t="shared" si="95"/>
        <v>0</v>
      </c>
      <c r="BK50" s="24"/>
      <c r="BL50" s="24">
        <v>735</v>
      </c>
      <c r="BW50" s="24">
        <v>12</v>
      </c>
      <c r="BX50" s="4" t="s">
        <v>173</v>
      </c>
    </row>
    <row r="51" spans="1:76" ht="14.4" x14ac:dyDescent="0.3">
      <c r="A51" s="2" t="s">
        <v>174</v>
      </c>
      <c r="B51" s="3" t="s">
        <v>175</v>
      </c>
      <c r="C51" s="83" t="s">
        <v>176</v>
      </c>
      <c r="D51" s="78"/>
      <c r="E51" s="3" t="s">
        <v>57</v>
      </c>
      <c r="F51" s="24">
        <v>4</v>
      </c>
      <c r="G51" s="24">
        <v>0</v>
      </c>
      <c r="H51" s="24">
        <f t="shared" si="72"/>
        <v>0</v>
      </c>
      <c r="I51" s="24">
        <f t="shared" si="73"/>
        <v>0</v>
      </c>
      <c r="J51" s="24">
        <f t="shared" si="74"/>
        <v>0</v>
      </c>
      <c r="K51" s="24">
        <v>2.7449999999999999E-2</v>
      </c>
      <c r="L51" s="25">
        <f t="shared" si="75"/>
        <v>0.10979999999999999</v>
      </c>
      <c r="Z51" s="24">
        <f t="shared" si="76"/>
        <v>0</v>
      </c>
      <c r="AB51" s="24">
        <f t="shared" si="77"/>
        <v>0</v>
      </c>
      <c r="AC51" s="24">
        <f t="shared" si="78"/>
        <v>0</v>
      </c>
      <c r="AD51" s="24">
        <f t="shared" si="79"/>
        <v>0</v>
      </c>
      <c r="AE51" s="24">
        <f t="shared" si="80"/>
        <v>0</v>
      </c>
      <c r="AF51" s="24">
        <f t="shared" si="81"/>
        <v>0</v>
      </c>
      <c r="AG51" s="24">
        <f t="shared" si="82"/>
        <v>0</v>
      </c>
      <c r="AH51" s="24">
        <f t="shared" si="83"/>
        <v>0</v>
      </c>
      <c r="AI51" s="9" t="s">
        <v>51</v>
      </c>
      <c r="AJ51" s="24">
        <f t="shared" si="84"/>
        <v>0</v>
      </c>
      <c r="AK51" s="24">
        <f t="shared" si="85"/>
        <v>0</v>
      </c>
      <c r="AL51" s="24">
        <f t="shared" si="86"/>
        <v>0</v>
      </c>
      <c r="AN51" s="24">
        <v>12</v>
      </c>
      <c r="AO51" s="24">
        <f>G51*0.915941957</f>
        <v>0</v>
      </c>
      <c r="AP51" s="24">
        <f>G51*(1-0.915941957)</f>
        <v>0</v>
      </c>
      <c r="AQ51" s="26" t="s">
        <v>69</v>
      </c>
      <c r="AV51" s="24">
        <f t="shared" si="87"/>
        <v>0</v>
      </c>
      <c r="AW51" s="24">
        <f t="shared" si="88"/>
        <v>0</v>
      </c>
      <c r="AX51" s="24">
        <f t="shared" si="89"/>
        <v>0</v>
      </c>
      <c r="AY51" s="26" t="s">
        <v>148</v>
      </c>
      <c r="AZ51" s="26" t="s">
        <v>93</v>
      </c>
      <c r="BA51" s="9" t="s">
        <v>60</v>
      </c>
      <c r="BC51" s="24">
        <f t="shared" si="90"/>
        <v>0</v>
      </c>
      <c r="BD51" s="24">
        <f t="shared" si="91"/>
        <v>0</v>
      </c>
      <c r="BE51" s="24">
        <v>0</v>
      </c>
      <c r="BF51" s="24">
        <f t="shared" si="92"/>
        <v>0.10979999999999999</v>
      </c>
      <c r="BH51" s="24">
        <f t="shared" si="93"/>
        <v>0</v>
      </c>
      <c r="BI51" s="24">
        <f t="shared" si="94"/>
        <v>0</v>
      </c>
      <c r="BJ51" s="24">
        <f t="shared" si="95"/>
        <v>0</v>
      </c>
      <c r="BK51" s="24"/>
      <c r="BL51" s="24">
        <v>735</v>
      </c>
      <c r="BW51" s="24">
        <v>12</v>
      </c>
      <c r="BX51" s="4" t="s">
        <v>176</v>
      </c>
    </row>
    <row r="52" spans="1:76" ht="14.4" x14ac:dyDescent="0.3">
      <c r="A52" s="2" t="s">
        <v>177</v>
      </c>
      <c r="B52" s="3" t="s">
        <v>178</v>
      </c>
      <c r="C52" s="83" t="s">
        <v>179</v>
      </c>
      <c r="D52" s="78"/>
      <c r="E52" s="3" t="s">
        <v>57</v>
      </c>
      <c r="F52" s="24">
        <v>2</v>
      </c>
      <c r="G52" s="24">
        <v>0</v>
      </c>
      <c r="H52" s="24">
        <f t="shared" si="72"/>
        <v>0</v>
      </c>
      <c r="I52" s="24">
        <f t="shared" si="73"/>
        <v>0</v>
      </c>
      <c r="J52" s="24">
        <f t="shared" si="74"/>
        <v>0</v>
      </c>
      <c r="K52" s="24">
        <v>3.0499999999999999E-2</v>
      </c>
      <c r="L52" s="25">
        <f t="shared" si="75"/>
        <v>6.0999999999999999E-2</v>
      </c>
      <c r="Z52" s="24">
        <f t="shared" si="76"/>
        <v>0</v>
      </c>
      <c r="AB52" s="24">
        <f t="shared" si="77"/>
        <v>0</v>
      </c>
      <c r="AC52" s="24">
        <f t="shared" si="78"/>
        <v>0</v>
      </c>
      <c r="AD52" s="24">
        <f t="shared" si="79"/>
        <v>0</v>
      </c>
      <c r="AE52" s="24">
        <f t="shared" si="80"/>
        <v>0</v>
      </c>
      <c r="AF52" s="24">
        <f t="shared" si="81"/>
        <v>0</v>
      </c>
      <c r="AG52" s="24">
        <f t="shared" si="82"/>
        <v>0</v>
      </c>
      <c r="AH52" s="24">
        <f t="shared" si="83"/>
        <v>0</v>
      </c>
      <c r="AI52" s="9" t="s">
        <v>51</v>
      </c>
      <c r="AJ52" s="24">
        <f t="shared" si="84"/>
        <v>0</v>
      </c>
      <c r="AK52" s="24">
        <f t="shared" si="85"/>
        <v>0</v>
      </c>
      <c r="AL52" s="24">
        <f t="shared" si="86"/>
        <v>0</v>
      </c>
      <c r="AN52" s="24">
        <v>12</v>
      </c>
      <c r="AO52" s="24">
        <f>G52*0.918806349</f>
        <v>0</v>
      </c>
      <c r="AP52" s="24">
        <f>G52*(1-0.918806349)</f>
        <v>0</v>
      </c>
      <c r="AQ52" s="26" t="s">
        <v>69</v>
      </c>
      <c r="AV52" s="24">
        <f t="shared" si="87"/>
        <v>0</v>
      </c>
      <c r="AW52" s="24">
        <f t="shared" si="88"/>
        <v>0</v>
      </c>
      <c r="AX52" s="24">
        <f t="shared" si="89"/>
        <v>0</v>
      </c>
      <c r="AY52" s="26" t="s">
        <v>148</v>
      </c>
      <c r="AZ52" s="26" t="s">
        <v>93</v>
      </c>
      <c r="BA52" s="9" t="s">
        <v>60</v>
      </c>
      <c r="BC52" s="24">
        <f t="shared" si="90"/>
        <v>0</v>
      </c>
      <c r="BD52" s="24">
        <f t="shared" si="91"/>
        <v>0</v>
      </c>
      <c r="BE52" s="24">
        <v>0</v>
      </c>
      <c r="BF52" s="24">
        <f t="shared" si="92"/>
        <v>6.0999999999999999E-2</v>
      </c>
      <c r="BH52" s="24">
        <f t="shared" si="93"/>
        <v>0</v>
      </c>
      <c r="BI52" s="24">
        <f t="shared" si="94"/>
        <v>0</v>
      </c>
      <c r="BJ52" s="24">
        <f t="shared" si="95"/>
        <v>0</v>
      </c>
      <c r="BK52" s="24"/>
      <c r="BL52" s="24">
        <v>735</v>
      </c>
      <c r="BW52" s="24">
        <v>12</v>
      </c>
      <c r="BX52" s="4" t="s">
        <v>179</v>
      </c>
    </row>
    <row r="53" spans="1:76" ht="14.4" x14ac:dyDescent="0.3">
      <c r="A53" s="2" t="s">
        <v>180</v>
      </c>
      <c r="B53" s="3" t="s">
        <v>181</v>
      </c>
      <c r="C53" s="83" t="s">
        <v>182</v>
      </c>
      <c r="D53" s="78"/>
      <c r="E53" s="3" t="s">
        <v>57</v>
      </c>
      <c r="F53" s="24">
        <v>4</v>
      </c>
      <c r="G53" s="24">
        <v>0</v>
      </c>
      <c r="H53" s="24">
        <f t="shared" si="72"/>
        <v>0</v>
      </c>
      <c r="I53" s="24">
        <f t="shared" si="73"/>
        <v>0</v>
      </c>
      <c r="J53" s="24">
        <f t="shared" si="74"/>
        <v>0</v>
      </c>
      <c r="K53" s="24">
        <v>1.66E-2</v>
      </c>
      <c r="L53" s="25">
        <f t="shared" si="75"/>
        <v>6.6400000000000001E-2</v>
      </c>
      <c r="Z53" s="24">
        <f t="shared" si="76"/>
        <v>0</v>
      </c>
      <c r="AB53" s="24">
        <f t="shared" si="77"/>
        <v>0</v>
      </c>
      <c r="AC53" s="24">
        <f t="shared" si="78"/>
        <v>0</v>
      </c>
      <c r="AD53" s="24">
        <f t="shared" si="79"/>
        <v>0</v>
      </c>
      <c r="AE53" s="24">
        <f t="shared" si="80"/>
        <v>0</v>
      </c>
      <c r="AF53" s="24">
        <f t="shared" si="81"/>
        <v>0</v>
      </c>
      <c r="AG53" s="24">
        <f t="shared" si="82"/>
        <v>0</v>
      </c>
      <c r="AH53" s="24">
        <f t="shared" si="83"/>
        <v>0</v>
      </c>
      <c r="AI53" s="9" t="s">
        <v>51</v>
      </c>
      <c r="AJ53" s="24">
        <f t="shared" si="84"/>
        <v>0</v>
      </c>
      <c r="AK53" s="24">
        <f t="shared" si="85"/>
        <v>0</v>
      </c>
      <c r="AL53" s="24">
        <f t="shared" si="86"/>
        <v>0</v>
      </c>
      <c r="AN53" s="24">
        <v>12</v>
      </c>
      <c r="AO53" s="24">
        <f>G53*0.916075091</f>
        <v>0</v>
      </c>
      <c r="AP53" s="24">
        <f>G53*(1-0.916075091)</f>
        <v>0</v>
      </c>
      <c r="AQ53" s="26" t="s">
        <v>69</v>
      </c>
      <c r="AV53" s="24">
        <f t="shared" si="87"/>
        <v>0</v>
      </c>
      <c r="AW53" s="24">
        <f t="shared" si="88"/>
        <v>0</v>
      </c>
      <c r="AX53" s="24">
        <f t="shared" si="89"/>
        <v>0</v>
      </c>
      <c r="AY53" s="26" t="s">
        <v>148</v>
      </c>
      <c r="AZ53" s="26" t="s">
        <v>93</v>
      </c>
      <c r="BA53" s="9" t="s">
        <v>60</v>
      </c>
      <c r="BC53" s="24">
        <f t="shared" si="90"/>
        <v>0</v>
      </c>
      <c r="BD53" s="24">
        <f t="shared" si="91"/>
        <v>0</v>
      </c>
      <c r="BE53" s="24">
        <v>0</v>
      </c>
      <c r="BF53" s="24">
        <f t="shared" si="92"/>
        <v>6.6400000000000001E-2</v>
      </c>
      <c r="BH53" s="24">
        <f t="shared" si="93"/>
        <v>0</v>
      </c>
      <c r="BI53" s="24">
        <f t="shared" si="94"/>
        <v>0</v>
      </c>
      <c r="BJ53" s="24">
        <f t="shared" si="95"/>
        <v>0</v>
      </c>
      <c r="BK53" s="24"/>
      <c r="BL53" s="24">
        <v>735</v>
      </c>
      <c r="BW53" s="24">
        <v>12</v>
      </c>
      <c r="BX53" s="4" t="s">
        <v>182</v>
      </c>
    </row>
    <row r="54" spans="1:76" ht="14.4" x14ac:dyDescent="0.3">
      <c r="A54" s="2" t="s">
        <v>183</v>
      </c>
      <c r="B54" s="3" t="s">
        <v>184</v>
      </c>
      <c r="C54" s="83" t="s">
        <v>185</v>
      </c>
      <c r="D54" s="78"/>
      <c r="E54" s="3" t="s">
        <v>57</v>
      </c>
      <c r="F54" s="24">
        <v>2</v>
      </c>
      <c r="G54" s="24">
        <v>0</v>
      </c>
      <c r="H54" s="24">
        <f t="shared" si="72"/>
        <v>0</v>
      </c>
      <c r="I54" s="24">
        <f t="shared" si="73"/>
        <v>0</v>
      </c>
      <c r="J54" s="24">
        <f t="shared" si="74"/>
        <v>0</v>
      </c>
      <c r="K54" s="24">
        <v>9.7000000000000003E-3</v>
      </c>
      <c r="L54" s="25">
        <f t="shared" si="75"/>
        <v>1.9400000000000001E-2</v>
      </c>
      <c r="Z54" s="24">
        <f t="shared" si="76"/>
        <v>0</v>
      </c>
      <c r="AB54" s="24">
        <f t="shared" si="77"/>
        <v>0</v>
      </c>
      <c r="AC54" s="24">
        <f t="shared" si="78"/>
        <v>0</v>
      </c>
      <c r="AD54" s="24">
        <f t="shared" si="79"/>
        <v>0</v>
      </c>
      <c r="AE54" s="24">
        <f t="shared" si="80"/>
        <v>0</v>
      </c>
      <c r="AF54" s="24">
        <f t="shared" si="81"/>
        <v>0</v>
      </c>
      <c r="AG54" s="24">
        <f t="shared" si="82"/>
        <v>0</v>
      </c>
      <c r="AH54" s="24">
        <f t="shared" si="83"/>
        <v>0</v>
      </c>
      <c r="AI54" s="9" t="s">
        <v>51</v>
      </c>
      <c r="AJ54" s="24">
        <f t="shared" si="84"/>
        <v>0</v>
      </c>
      <c r="AK54" s="24">
        <f t="shared" si="85"/>
        <v>0</v>
      </c>
      <c r="AL54" s="24">
        <f t="shared" si="86"/>
        <v>0</v>
      </c>
      <c r="AN54" s="24">
        <v>12</v>
      </c>
      <c r="AO54" s="24">
        <f>G54*0.892307692</f>
        <v>0</v>
      </c>
      <c r="AP54" s="24">
        <f>G54*(1-0.892307692)</f>
        <v>0</v>
      </c>
      <c r="AQ54" s="26" t="s">
        <v>69</v>
      </c>
      <c r="AV54" s="24">
        <f t="shared" si="87"/>
        <v>0</v>
      </c>
      <c r="AW54" s="24">
        <f t="shared" si="88"/>
        <v>0</v>
      </c>
      <c r="AX54" s="24">
        <f t="shared" si="89"/>
        <v>0</v>
      </c>
      <c r="AY54" s="26" t="s">
        <v>148</v>
      </c>
      <c r="AZ54" s="26" t="s">
        <v>93</v>
      </c>
      <c r="BA54" s="9" t="s">
        <v>60</v>
      </c>
      <c r="BC54" s="24">
        <f t="shared" si="90"/>
        <v>0</v>
      </c>
      <c r="BD54" s="24">
        <f t="shared" si="91"/>
        <v>0</v>
      </c>
      <c r="BE54" s="24">
        <v>0</v>
      </c>
      <c r="BF54" s="24">
        <f t="shared" si="92"/>
        <v>1.9400000000000001E-2</v>
      </c>
      <c r="BH54" s="24">
        <f t="shared" si="93"/>
        <v>0</v>
      </c>
      <c r="BI54" s="24">
        <f t="shared" si="94"/>
        <v>0</v>
      </c>
      <c r="BJ54" s="24">
        <f t="shared" si="95"/>
        <v>0</v>
      </c>
      <c r="BK54" s="24"/>
      <c r="BL54" s="24">
        <v>735</v>
      </c>
      <c r="BW54" s="24">
        <v>12</v>
      </c>
      <c r="BX54" s="4" t="s">
        <v>185</v>
      </c>
    </row>
    <row r="55" spans="1:76" ht="14.4" x14ac:dyDescent="0.3">
      <c r="A55" s="27" t="s">
        <v>51</v>
      </c>
      <c r="B55" s="28" t="s">
        <v>186</v>
      </c>
      <c r="C55" s="101" t="s">
        <v>187</v>
      </c>
      <c r="D55" s="102"/>
      <c r="E55" s="29" t="s">
        <v>18</v>
      </c>
      <c r="F55" s="29" t="s">
        <v>18</v>
      </c>
      <c r="G55" s="29" t="s">
        <v>18</v>
      </c>
      <c r="H55" s="1">
        <f>SUM(H56:H57)</f>
        <v>0</v>
      </c>
      <c r="I55" s="1">
        <f>SUM(I56:I57)</f>
        <v>0</v>
      </c>
      <c r="J55" s="1">
        <f>SUM(J56:J57)</f>
        <v>0</v>
      </c>
      <c r="K55" s="9" t="s">
        <v>51</v>
      </c>
      <c r="L55" s="30">
        <f>SUM(L56:L57)</f>
        <v>0</v>
      </c>
      <c r="AI55" s="9" t="s">
        <v>51</v>
      </c>
      <c r="AS55" s="1">
        <f>SUM(AJ56:AJ57)</f>
        <v>0</v>
      </c>
      <c r="AT55" s="1">
        <f>SUM(AK56:AK57)</f>
        <v>0</v>
      </c>
      <c r="AU55" s="1">
        <f>SUM(AL56:AL57)</f>
        <v>0</v>
      </c>
    </row>
    <row r="56" spans="1:76" ht="14.4" x14ac:dyDescent="0.3">
      <c r="A56" s="2" t="s">
        <v>188</v>
      </c>
      <c r="B56" s="3" t="s">
        <v>189</v>
      </c>
      <c r="C56" s="83" t="s">
        <v>190</v>
      </c>
      <c r="D56" s="78"/>
      <c r="E56" s="3" t="s">
        <v>191</v>
      </c>
      <c r="F56" s="24">
        <v>8</v>
      </c>
      <c r="G56" s="24">
        <v>0</v>
      </c>
      <c r="H56" s="24">
        <f>ROUND(F56*AO56,2)</f>
        <v>0</v>
      </c>
      <c r="I56" s="24">
        <f>ROUND(F56*AP56,2)</f>
        <v>0</v>
      </c>
      <c r="J56" s="24">
        <f>ROUND(F56*G56,2)</f>
        <v>0</v>
      </c>
      <c r="K56" s="24">
        <v>0</v>
      </c>
      <c r="L56" s="25">
        <f>F56*K56</f>
        <v>0</v>
      </c>
      <c r="Z56" s="24">
        <f>ROUND(IF(AQ56="5",BJ56,0),2)</f>
        <v>0</v>
      </c>
      <c r="AB56" s="24">
        <f>ROUND(IF(AQ56="1",BH56,0),2)</f>
        <v>0</v>
      </c>
      <c r="AC56" s="24">
        <f>ROUND(IF(AQ56="1",BI56,0),2)</f>
        <v>0</v>
      </c>
      <c r="AD56" s="24">
        <f>ROUND(IF(AQ56="7",BH56,0),2)</f>
        <v>0</v>
      </c>
      <c r="AE56" s="24">
        <f>ROUND(IF(AQ56="7",BI56,0),2)</f>
        <v>0</v>
      </c>
      <c r="AF56" s="24">
        <f>ROUND(IF(AQ56="2",BH56,0),2)</f>
        <v>0</v>
      </c>
      <c r="AG56" s="24">
        <f>ROUND(IF(AQ56="2",BI56,0),2)</f>
        <v>0</v>
      </c>
      <c r="AH56" s="24">
        <f>ROUND(IF(AQ56="0",BJ56,0),2)</f>
        <v>0</v>
      </c>
      <c r="AI56" s="9" t="s">
        <v>51</v>
      </c>
      <c r="AJ56" s="24">
        <f>IF(AN56=0,J56,0)</f>
        <v>0</v>
      </c>
      <c r="AK56" s="24">
        <f>IF(AN56=12,J56,0)</f>
        <v>0</v>
      </c>
      <c r="AL56" s="24">
        <f>IF(AN56=21,J56,0)</f>
        <v>0</v>
      </c>
      <c r="AN56" s="24">
        <v>12</v>
      </c>
      <c r="AO56" s="24">
        <f>G56*0</f>
        <v>0</v>
      </c>
      <c r="AP56" s="24">
        <f>G56*(1-0)</f>
        <v>0</v>
      </c>
      <c r="AQ56" s="26" t="s">
        <v>54</v>
      </c>
      <c r="AV56" s="24">
        <f>ROUND(AW56+AX56,2)</f>
        <v>0</v>
      </c>
      <c r="AW56" s="24">
        <f>ROUND(F56*AO56,2)</f>
        <v>0</v>
      </c>
      <c r="AX56" s="24">
        <f>ROUND(F56*AP56,2)</f>
        <v>0</v>
      </c>
      <c r="AY56" s="26" t="s">
        <v>192</v>
      </c>
      <c r="AZ56" s="26" t="s">
        <v>193</v>
      </c>
      <c r="BA56" s="9" t="s">
        <v>60</v>
      </c>
      <c r="BC56" s="24">
        <f>AW56+AX56</f>
        <v>0</v>
      </c>
      <c r="BD56" s="24">
        <f>G56/(100-BE56)*100</f>
        <v>0</v>
      </c>
      <c r="BE56" s="24">
        <v>0</v>
      </c>
      <c r="BF56" s="24">
        <f>L56</f>
        <v>0</v>
      </c>
      <c r="BH56" s="24">
        <f>F56*AO56</f>
        <v>0</v>
      </c>
      <c r="BI56" s="24">
        <f>F56*AP56</f>
        <v>0</v>
      </c>
      <c r="BJ56" s="24">
        <f>F56*G56</f>
        <v>0</v>
      </c>
      <c r="BK56" s="24"/>
      <c r="BL56" s="24">
        <v>90</v>
      </c>
      <c r="BW56" s="24">
        <v>12</v>
      </c>
      <c r="BX56" s="4" t="s">
        <v>190</v>
      </c>
    </row>
    <row r="57" spans="1:76" ht="14.4" x14ac:dyDescent="0.3">
      <c r="A57" s="2" t="s">
        <v>194</v>
      </c>
      <c r="B57" s="3" t="s">
        <v>189</v>
      </c>
      <c r="C57" s="83" t="s">
        <v>195</v>
      </c>
      <c r="D57" s="78"/>
      <c r="E57" s="3" t="s">
        <v>191</v>
      </c>
      <c r="F57" s="24">
        <v>24</v>
      </c>
      <c r="G57" s="24">
        <v>0</v>
      </c>
      <c r="H57" s="24">
        <f>ROUND(F57*AO57,2)</f>
        <v>0</v>
      </c>
      <c r="I57" s="24">
        <f>ROUND(F57*AP57,2)</f>
        <v>0</v>
      </c>
      <c r="J57" s="24">
        <f>ROUND(F57*G57,2)</f>
        <v>0</v>
      </c>
      <c r="K57" s="24">
        <v>0</v>
      </c>
      <c r="L57" s="25">
        <f>F57*K57</f>
        <v>0</v>
      </c>
      <c r="Z57" s="24">
        <f>ROUND(IF(AQ57="5",BJ57,0),2)</f>
        <v>0</v>
      </c>
      <c r="AB57" s="24">
        <f>ROUND(IF(AQ57="1",BH57,0),2)</f>
        <v>0</v>
      </c>
      <c r="AC57" s="24">
        <f>ROUND(IF(AQ57="1",BI57,0),2)</f>
        <v>0</v>
      </c>
      <c r="AD57" s="24">
        <f>ROUND(IF(AQ57="7",BH57,0),2)</f>
        <v>0</v>
      </c>
      <c r="AE57" s="24">
        <f>ROUND(IF(AQ57="7",BI57,0),2)</f>
        <v>0</v>
      </c>
      <c r="AF57" s="24">
        <f>ROUND(IF(AQ57="2",BH57,0),2)</f>
        <v>0</v>
      </c>
      <c r="AG57" s="24">
        <f>ROUND(IF(AQ57="2",BI57,0),2)</f>
        <v>0</v>
      </c>
      <c r="AH57" s="24">
        <f>ROUND(IF(AQ57="0",BJ57,0),2)</f>
        <v>0</v>
      </c>
      <c r="AI57" s="9" t="s">
        <v>51</v>
      </c>
      <c r="AJ57" s="24">
        <f>IF(AN57=0,J57,0)</f>
        <v>0</v>
      </c>
      <c r="AK57" s="24">
        <f>IF(AN57=12,J57,0)</f>
        <v>0</v>
      </c>
      <c r="AL57" s="24">
        <f>IF(AN57=21,J57,0)</f>
        <v>0</v>
      </c>
      <c r="AN57" s="24">
        <v>12</v>
      </c>
      <c r="AO57" s="24">
        <f>G57*0</f>
        <v>0</v>
      </c>
      <c r="AP57" s="24">
        <f>G57*(1-0)</f>
        <v>0</v>
      </c>
      <c r="AQ57" s="26" t="s">
        <v>54</v>
      </c>
      <c r="AV57" s="24">
        <f>ROUND(AW57+AX57,2)</f>
        <v>0</v>
      </c>
      <c r="AW57" s="24">
        <f>ROUND(F57*AO57,2)</f>
        <v>0</v>
      </c>
      <c r="AX57" s="24">
        <f>ROUND(F57*AP57,2)</f>
        <v>0</v>
      </c>
      <c r="AY57" s="26" t="s">
        <v>192</v>
      </c>
      <c r="AZ57" s="26" t="s">
        <v>193</v>
      </c>
      <c r="BA57" s="9" t="s">
        <v>60</v>
      </c>
      <c r="BC57" s="24">
        <f>AW57+AX57</f>
        <v>0</v>
      </c>
      <c r="BD57" s="24">
        <f>G57/(100-BE57)*100</f>
        <v>0</v>
      </c>
      <c r="BE57" s="24">
        <v>0</v>
      </c>
      <c r="BF57" s="24">
        <f>L57</f>
        <v>0</v>
      </c>
      <c r="BH57" s="24">
        <f>F57*AO57</f>
        <v>0</v>
      </c>
      <c r="BI57" s="24">
        <f>F57*AP57</f>
        <v>0</v>
      </c>
      <c r="BJ57" s="24">
        <f>F57*G57</f>
        <v>0</v>
      </c>
      <c r="BK57" s="24"/>
      <c r="BL57" s="24">
        <v>90</v>
      </c>
      <c r="BW57" s="24">
        <v>12</v>
      </c>
      <c r="BX57" s="4" t="s">
        <v>195</v>
      </c>
    </row>
    <row r="58" spans="1:76" ht="14.4" x14ac:dyDescent="0.3">
      <c r="A58" s="27" t="s">
        <v>51</v>
      </c>
      <c r="B58" s="28" t="s">
        <v>196</v>
      </c>
      <c r="C58" s="101" t="s">
        <v>197</v>
      </c>
      <c r="D58" s="102"/>
      <c r="E58" s="29" t="s">
        <v>18</v>
      </c>
      <c r="F58" s="29" t="s">
        <v>18</v>
      </c>
      <c r="G58" s="29" t="s">
        <v>18</v>
      </c>
      <c r="H58" s="1">
        <f>SUM(H59:H62)</f>
        <v>0</v>
      </c>
      <c r="I58" s="1">
        <f>SUM(I59:I62)</f>
        <v>0</v>
      </c>
      <c r="J58" s="1">
        <f>SUM(J59:J62)</f>
        <v>0</v>
      </c>
      <c r="K58" s="9" t="s">
        <v>51</v>
      </c>
      <c r="L58" s="30">
        <f>SUM(L59:L62)</f>
        <v>1.44998</v>
      </c>
      <c r="AI58" s="9" t="s">
        <v>51</v>
      </c>
      <c r="AS58" s="1">
        <f>SUM(AJ59:AJ62)</f>
        <v>0</v>
      </c>
      <c r="AT58" s="1">
        <f>SUM(AK59:AK62)</f>
        <v>0</v>
      </c>
      <c r="AU58" s="1">
        <f>SUM(AL59:AL62)</f>
        <v>0</v>
      </c>
    </row>
    <row r="59" spans="1:76" ht="14.4" x14ac:dyDescent="0.3">
      <c r="A59" s="2" t="s">
        <v>198</v>
      </c>
      <c r="B59" s="3" t="s">
        <v>199</v>
      </c>
      <c r="C59" s="83" t="s">
        <v>200</v>
      </c>
      <c r="D59" s="78"/>
      <c r="E59" s="3" t="s">
        <v>57</v>
      </c>
      <c r="F59" s="24">
        <v>4</v>
      </c>
      <c r="G59" s="24">
        <v>0</v>
      </c>
      <c r="H59" s="24">
        <f>ROUND(F59*AO59,2)</f>
        <v>0</v>
      </c>
      <c r="I59" s="24">
        <f>ROUND(F59*AP59,2)</f>
        <v>0</v>
      </c>
      <c r="J59" s="24">
        <f>ROUND(F59*G59,2)</f>
        <v>0</v>
      </c>
      <c r="K59" s="24">
        <v>0.11333</v>
      </c>
      <c r="L59" s="25">
        <f>F59*K59</f>
        <v>0.45332</v>
      </c>
      <c r="Z59" s="24">
        <f>ROUND(IF(AQ59="5",BJ59,0),2)</f>
        <v>0</v>
      </c>
      <c r="AB59" s="24">
        <f>ROUND(IF(AQ59="1",BH59,0),2)</f>
        <v>0</v>
      </c>
      <c r="AC59" s="24">
        <f>ROUND(IF(AQ59="1",BI59,0),2)</f>
        <v>0</v>
      </c>
      <c r="AD59" s="24">
        <f>ROUND(IF(AQ59="7",BH59,0),2)</f>
        <v>0</v>
      </c>
      <c r="AE59" s="24">
        <f>ROUND(IF(AQ59="7",BI59,0),2)</f>
        <v>0</v>
      </c>
      <c r="AF59" s="24">
        <f>ROUND(IF(AQ59="2",BH59,0),2)</f>
        <v>0</v>
      </c>
      <c r="AG59" s="24">
        <f>ROUND(IF(AQ59="2",BI59,0),2)</f>
        <v>0</v>
      </c>
      <c r="AH59" s="24">
        <f>ROUND(IF(AQ59="0",BJ59,0),2)</f>
        <v>0</v>
      </c>
      <c r="AI59" s="9" t="s">
        <v>51</v>
      </c>
      <c r="AJ59" s="24">
        <f>IF(AN59=0,J59,0)</f>
        <v>0</v>
      </c>
      <c r="AK59" s="24">
        <f>IF(AN59=12,J59,0)</f>
        <v>0</v>
      </c>
      <c r="AL59" s="24">
        <f>IF(AN59=21,J59,0)</f>
        <v>0</v>
      </c>
      <c r="AN59" s="24">
        <v>12</v>
      </c>
      <c r="AO59" s="24">
        <f>G59*0.041165254</f>
        <v>0</v>
      </c>
      <c r="AP59" s="24">
        <f>G59*(1-0.041165254)</f>
        <v>0</v>
      </c>
      <c r="AQ59" s="26" t="s">
        <v>54</v>
      </c>
      <c r="AV59" s="24">
        <f>ROUND(AW59+AX59,2)</f>
        <v>0</v>
      </c>
      <c r="AW59" s="24">
        <f>ROUND(F59*AO59,2)</f>
        <v>0</v>
      </c>
      <c r="AX59" s="24">
        <f>ROUND(F59*AP59,2)</f>
        <v>0</v>
      </c>
      <c r="AY59" s="26" t="s">
        <v>201</v>
      </c>
      <c r="AZ59" s="26" t="s">
        <v>193</v>
      </c>
      <c r="BA59" s="9" t="s">
        <v>60</v>
      </c>
      <c r="BC59" s="24">
        <f>AW59+AX59</f>
        <v>0</v>
      </c>
      <c r="BD59" s="24">
        <f>G59/(100-BE59)*100</f>
        <v>0</v>
      </c>
      <c r="BE59" s="24">
        <v>0</v>
      </c>
      <c r="BF59" s="24">
        <f>L59</f>
        <v>0.45332</v>
      </c>
      <c r="BH59" s="24">
        <f>F59*AO59</f>
        <v>0</v>
      </c>
      <c r="BI59" s="24">
        <f>F59*AP59</f>
        <v>0</v>
      </c>
      <c r="BJ59" s="24">
        <f>F59*G59</f>
        <v>0</v>
      </c>
      <c r="BK59" s="24"/>
      <c r="BL59" s="24">
        <v>97</v>
      </c>
      <c r="BW59" s="24">
        <v>12</v>
      </c>
      <c r="BX59" s="4" t="s">
        <v>200</v>
      </c>
    </row>
    <row r="60" spans="1:76" ht="14.4" x14ac:dyDescent="0.3">
      <c r="A60" s="2" t="s">
        <v>202</v>
      </c>
      <c r="B60" s="3" t="s">
        <v>203</v>
      </c>
      <c r="C60" s="83" t="s">
        <v>204</v>
      </c>
      <c r="D60" s="78"/>
      <c r="E60" s="3" t="s">
        <v>57</v>
      </c>
      <c r="F60" s="24">
        <v>4</v>
      </c>
      <c r="G60" s="24">
        <v>0</v>
      </c>
      <c r="H60" s="24">
        <f>ROUND(F60*AO60,2)</f>
        <v>0</v>
      </c>
      <c r="I60" s="24">
        <f>ROUND(F60*AP60,2)</f>
        <v>0</v>
      </c>
      <c r="J60" s="24">
        <f>ROUND(F60*G60,2)</f>
        <v>0</v>
      </c>
      <c r="K60" s="24">
        <v>2.8340000000000001E-2</v>
      </c>
      <c r="L60" s="25">
        <f>F60*K60</f>
        <v>0.11336</v>
      </c>
      <c r="Z60" s="24">
        <f>ROUND(IF(AQ60="5",BJ60,0),2)</f>
        <v>0</v>
      </c>
      <c r="AB60" s="24">
        <f>ROUND(IF(AQ60="1",BH60,0),2)</f>
        <v>0</v>
      </c>
      <c r="AC60" s="24">
        <f>ROUND(IF(AQ60="1",BI60,0),2)</f>
        <v>0</v>
      </c>
      <c r="AD60" s="24">
        <f>ROUND(IF(AQ60="7",BH60,0),2)</f>
        <v>0</v>
      </c>
      <c r="AE60" s="24">
        <f>ROUND(IF(AQ60="7",BI60,0),2)</f>
        <v>0</v>
      </c>
      <c r="AF60" s="24">
        <f>ROUND(IF(AQ60="2",BH60,0),2)</f>
        <v>0</v>
      </c>
      <c r="AG60" s="24">
        <f>ROUND(IF(AQ60="2",BI60,0),2)</f>
        <v>0</v>
      </c>
      <c r="AH60" s="24">
        <f>ROUND(IF(AQ60="0",BJ60,0),2)</f>
        <v>0</v>
      </c>
      <c r="AI60" s="9" t="s">
        <v>51</v>
      </c>
      <c r="AJ60" s="24">
        <f>IF(AN60=0,J60,0)</f>
        <v>0</v>
      </c>
      <c r="AK60" s="24">
        <f>IF(AN60=12,J60,0)</f>
        <v>0</v>
      </c>
      <c r="AL60" s="24">
        <f>IF(AN60=21,J60,0)</f>
        <v>0</v>
      </c>
      <c r="AN60" s="24">
        <v>12</v>
      </c>
      <c r="AO60" s="24">
        <f>G60*0.066757679</f>
        <v>0</v>
      </c>
      <c r="AP60" s="24">
        <f>G60*(1-0.066757679)</f>
        <v>0</v>
      </c>
      <c r="AQ60" s="26" t="s">
        <v>54</v>
      </c>
      <c r="AV60" s="24">
        <f>ROUND(AW60+AX60,2)</f>
        <v>0</v>
      </c>
      <c r="AW60" s="24">
        <f>ROUND(F60*AO60,2)</f>
        <v>0</v>
      </c>
      <c r="AX60" s="24">
        <f>ROUND(F60*AP60,2)</f>
        <v>0</v>
      </c>
      <c r="AY60" s="26" t="s">
        <v>201</v>
      </c>
      <c r="AZ60" s="26" t="s">
        <v>193</v>
      </c>
      <c r="BA60" s="9" t="s">
        <v>60</v>
      </c>
      <c r="BC60" s="24">
        <f>AW60+AX60</f>
        <v>0</v>
      </c>
      <c r="BD60" s="24">
        <f>G60/(100-BE60)*100</f>
        <v>0</v>
      </c>
      <c r="BE60" s="24">
        <v>0</v>
      </c>
      <c r="BF60" s="24">
        <f>L60</f>
        <v>0.11336</v>
      </c>
      <c r="BH60" s="24">
        <f>F60*AO60</f>
        <v>0</v>
      </c>
      <c r="BI60" s="24">
        <f>F60*AP60</f>
        <v>0</v>
      </c>
      <c r="BJ60" s="24">
        <f>F60*G60</f>
        <v>0</v>
      </c>
      <c r="BK60" s="24"/>
      <c r="BL60" s="24">
        <v>97</v>
      </c>
      <c r="BW60" s="24">
        <v>12</v>
      </c>
      <c r="BX60" s="4" t="s">
        <v>204</v>
      </c>
    </row>
    <row r="61" spans="1:76" ht="14.4" x14ac:dyDescent="0.3">
      <c r="A61" s="2" t="s">
        <v>205</v>
      </c>
      <c r="B61" s="3" t="s">
        <v>206</v>
      </c>
      <c r="C61" s="83" t="s">
        <v>207</v>
      </c>
      <c r="D61" s="78"/>
      <c r="E61" s="3" t="s">
        <v>57</v>
      </c>
      <c r="F61" s="24">
        <v>20</v>
      </c>
      <c r="G61" s="24">
        <v>0</v>
      </c>
      <c r="H61" s="24">
        <f>ROUND(F61*AO61,2)</f>
        <v>0</v>
      </c>
      <c r="I61" s="24">
        <f>ROUND(F61*AP61,2)</f>
        <v>0</v>
      </c>
      <c r="J61" s="24">
        <f>ROUND(F61*G61,2)</f>
        <v>0</v>
      </c>
      <c r="K61" s="24">
        <v>3.2000000000000001E-2</v>
      </c>
      <c r="L61" s="25">
        <f>F61*K61</f>
        <v>0.64</v>
      </c>
      <c r="Z61" s="24">
        <f>ROUND(IF(AQ61="5",BJ61,0),2)</f>
        <v>0</v>
      </c>
      <c r="AB61" s="24">
        <f>ROUND(IF(AQ61="1",BH61,0),2)</f>
        <v>0</v>
      </c>
      <c r="AC61" s="24">
        <f>ROUND(IF(AQ61="1",BI61,0),2)</f>
        <v>0</v>
      </c>
      <c r="AD61" s="24">
        <f>ROUND(IF(AQ61="7",BH61,0),2)</f>
        <v>0</v>
      </c>
      <c r="AE61" s="24">
        <f>ROUND(IF(AQ61="7",BI61,0),2)</f>
        <v>0</v>
      </c>
      <c r="AF61" s="24">
        <f>ROUND(IF(AQ61="2",BH61,0),2)</f>
        <v>0</v>
      </c>
      <c r="AG61" s="24">
        <f>ROUND(IF(AQ61="2",BI61,0),2)</f>
        <v>0</v>
      </c>
      <c r="AH61" s="24">
        <f>ROUND(IF(AQ61="0",BJ61,0),2)</f>
        <v>0</v>
      </c>
      <c r="AI61" s="9" t="s">
        <v>51</v>
      </c>
      <c r="AJ61" s="24">
        <f>IF(AN61=0,J61,0)</f>
        <v>0</v>
      </c>
      <c r="AK61" s="24">
        <f>IF(AN61=12,J61,0)</f>
        <v>0</v>
      </c>
      <c r="AL61" s="24">
        <f>IF(AN61=21,J61,0)</f>
        <v>0</v>
      </c>
      <c r="AN61" s="24">
        <v>12</v>
      </c>
      <c r="AO61" s="24">
        <f>G61*0</f>
        <v>0</v>
      </c>
      <c r="AP61" s="24">
        <f>G61*(1-0)</f>
        <v>0</v>
      </c>
      <c r="AQ61" s="26" t="s">
        <v>54</v>
      </c>
      <c r="AV61" s="24">
        <f>ROUND(AW61+AX61,2)</f>
        <v>0</v>
      </c>
      <c r="AW61" s="24">
        <f>ROUND(F61*AO61,2)</f>
        <v>0</v>
      </c>
      <c r="AX61" s="24">
        <f>ROUND(F61*AP61,2)</f>
        <v>0</v>
      </c>
      <c r="AY61" s="26" t="s">
        <v>201</v>
      </c>
      <c r="AZ61" s="26" t="s">
        <v>193</v>
      </c>
      <c r="BA61" s="9" t="s">
        <v>60</v>
      </c>
      <c r="BC61" s="24">
        <f>AW61+AX61</f>
        <v>0</v>
      </c>
      <c r="BD61" s="24">
        <f>G61/(100-BE61)*100</f>
        <v>0</v>
      </c>
      <c r="BE61" s="24">
        <v>0</v>
      </c>
      <c r="BF61" s="24">
        <f>L61</f>
        <v>0.64</v>
      </c>
      <c r="BH61" s="24">
        <f>F61*AO61</f>
        <v>0</v>
      </c>
      <c r="BI61" s="24">
        <f>F61*AP61</f>
        <v>0</v>
      </c>
      <c r="BJ61" s="24">
        <f>F61*G61</f>
        <v>0</v>
      </c>
      <c r="BK61" s="24"/>
      <c r="BL61" s="24">
        <v>97</v>
      </c>
      <c r="BW61" s="24">
        <v>12</v>
      </c>
      <c r="BX61" s="4" t="s">
        <v>207</v>
      </c>
    </row>
    <row r="62" spans="1:76" ht="14.4" x14ac:dyDescent="0.3">
      <c r="A62" s="2" t="s">
        <v>208</v>
      </c>
      <c r="B62" s="3" t="s">
        <v>209</v>
      </c>
      <c r="C62" s="83" t="s">
        <v>210</v>
      </c>
      <c r="D62" s="78"/>
      <c r="E62" s="3" t="s">
        <v>57</v>
      </c>
      <c r="F62" s="24">
        <v>10</v>
      </c>
      <c r="G62" s="24">
        <v>0</v>
      </c>
      <c r="H62" s="24">
        <f>ROUND(F62*AO62,2)</f>
        <v>0</v>
      </c>
      <c r="I62" s="24">
        <f>ROUND(F62*AP62,2)</f>
        <v>0</v>
      </c>
      <c r="J62" s="24">
        <f>ROUND(F62*G62,2)</f>
        <v>0</v>
      </c>
      <c r="K62" s="24">
        <v>2.4330000000000001E-2</v>
      </c>
      <c r="L62" s="25">
        <f>F62*K62</f>
        <v>0.24330000000000002</v>
      </c>
      <c r="Z62" s="24">
        <f>ROUND(IF(AQ62="5",BJ62,0),2)</f>
        <v>0</v>
      </c>
      <c r="AB62" s="24">
        <f>ROUND(IF(AQ62="1",BH62,0),2)</f>
        <v>0</v>
      </c>
      <c r="AC62" s="24">
        <f>ROUND(IF(AQ62="1",BI62,0),2)</f>
        <v>0</v>
      </c>
      <c r="AD62" s="24">
        <f>ROUND(IF(AQ62="7",BH62,0),2)</f>
        <v>0</v>
      </c>
      <c r="AE62" s="24">
        <f>ROUND(IF(AQ62="7",BI62,0),2)</f>
        <v>0</v>
      </c>
      <c r="AF62" s="24">
        <f>ROUND(IF(AQ62="2",BH62,0),2)</f>
        <v>0</v>
      </c>
      <c r="AG62" s="24">
        <f>ROUND(IF(AQ62="2",BI62,0),2)</f>
        <v>0</v>
      </c>
      <c r="AH62" s="24">
        <f>ROUND(IF(AQ62="0",BJ62,0),2)</f>
        <v>0</v>
      </c>
      <c r="AI62" s="9" t="s">
        <v>51</v>
      </c>
      <c r="AJ62" s="24">
        <f>IF(AN62=0,J62,0)</f>
        <v>0</v>
      </c>
      <c r="AK62" s="24">
        <f>IF(AN62=12,J62,0)</f>
        <v>0</v>
      </c>
      <c r="AL62" s="24">
        <f>IF(AN62=21,J62,0)</f>
        <v>0</v>
      </c>
      <c r="AN62" s="24">
        <v>12</v>
      </c>
      <c r="AO62" s="24">
        <f>G62*0.05969278</f>
        <v>0</v>
      </c>
      <c r="AP62" s="24">
        <f>G62*(1-0.05969278)</f>
        <v>0</v>
      </c>
      <c r="AQ62" s="26" t="s">
        <v>54</v>
      </c>
      <c r="AV62" s="24">
        <f>ROUND(AW62+AX62,2)</f>
        <v>0</v>
      </c>
      <c r="AW62" s="24">
        <f>ROUND(F62*AO62,2)</f>
        <v>0</v>
      </c>
      <c r="AX62" s="24">
        <f>ROUND(F62*AP62,2)</f>
        <v>0</v>
      </c>
      <c r="AY62" s="26" t="s">
        <v>201</v>
      </c>
      <c r="AZ62" s="26" t="s">
        <v>193</v>
      </c>
      <c r="BA62" s="9" t="s">
        <v>60</v>
      </c>
      <c r="BC62" s="24">
        <f>AW62+AX62</f>
        <v>0</v>
      </c>
      <c r="BD62" s="24">
        <f>G62/(100-BE62)*100</f>
        <v>0</v>
      </c>
      <c r="BE62" s="24">
        <v>0</v>
      </c>
      <c r="BF62" s="24">
        <f>L62</f>
        <v>0.24330000000000002</v>
      </c>
      <c r="BH62" s="24">
        <f>F62*AO62</f>
        <v>0</v>
      </c>
      <c r="BI62" s="24">
        <f>F62*AP62</f>
        <v>0</v>
      </c>
      <c r="BJ62" s="24">
        <f>F62*G62</f>
        <v>0</v>
      </c>
      <c r="BK62" s="24"/>
      <c r="BL62" s="24">
        <v>97</v>
      </c>
      <c r="BW62" s="24">
        <v>12</v>
      </c>
      <c r="BX62" s="4" t="s">
        <v>210</v>
      </c>
    </row>
    <row r="63" spans="1:76" ht="14.4" x14ac:dyDescent="0.3">
      <c r="A63" s="27" t="s">
        <v>51</v>
      </c>
      <c r="B63" s="28" t="s">
        <v>211</v>
      </c>
      <c r="C63" s="101" t="s">
        <v>212</v>
      </c>
      <c r="D63" s="102"/>
      <c r="E63" s="29" t="s">
        <v>18</v>
      </c>
      <c r="F63" s="29" t="s">
        <v>18</v>
      </c>
      <c r="G63" s="29" t="s">
        <v>18</v>
      </c>
      <c r="H63" s="1">
        <f>SUM(H64:H65)</f>
        <v>0</v>
      </c>
      <c r="I63" s="1">
        <f>SUM(I64:I65)</f>
        <v>0</v>
      </c>
      <c r="J63" s="1">
        <f>SUM(J64:J65)</f>
        <v>0</v>
      </c>
      <c r="K63" s="9" t="s">
        <v>51</v>
      </c>
      <c r="L63" s="30">
        <f>SUM(L64:L65)</f>
        <v>0</v>
      </c>
      <c r="AI63" s="9" t="s">
        <v>51</v>
      </c>
      <c r="AS63" s="1">
        <f>SUM(AJ64:AJ65)</f>
        <v>0</v>
      </c>
      <c r="AT63" s="1">
        <f>SUM(AK64:AK65)</f>
        <v>0</v>
      </c>
      <c r="AU63" s="1">
        <f>SUM(AL64:AL65)</f>
        <v>0</v>
      </c>
    </row>
    <row r="64" spans="1:76" ht="14.4" x14ac:dyDescent="0.3">
      <c r="A64" s="2" t="s">
        <v>213</v>
      </c>
      <c r="B64" s="3" t="s">
        <v>214</v>
      </c>
      <c r="C64" s="83" t="s">
        <v>215</v>
      </c>
      <c r="D64" s="78"/>
      <c r="E64" s="3" t="s">
        <v>216</v>
      </c>
      <c r="F64" s="24">
        <v>0.18</v>
      </c>
      <c r="G64" s="24">
        <v>0</v>
      </c>
      <c r="H64" s="24">
        <f>ROUND(F64*AO64,2)</f>
        <v>0</v>
      </c>
      <c r="I64" s="24">
        <f>ROUND(F64*AP64,2)</f>
        <v>0</v>
      </c>
      <c r="J64" s="24">
        <f>ROUND(F64*G64,2)</f>
        <v>0</v>
      </c>
      <c r="K64" s="24">
        <v>0</v>
      </c>
      <c r="L64" s="25">
        <f>F64*K64</f>
        <v>0</v>
      </c>
      <c r="Z64" s="24">
        <f>ROUND(IF(AQ64="5",BJ64,0),2)</f>
        <v>0</v>
      </c>
      <c r="AB64" s="24">
        <f>ROUND(IF(AQ64="1",BH64,0),2)</f>
        <v>0</v>
      </c>
      <c r="AC64" s="24">
        <f>ROUND(IF(AQ64="1",BI64,0),2)</f>
        <v>0</v>
      </c>
      <c r="AD64" s="24">
        <f>ROUND(IF(AQ64="7",BH64,0),2)</f>
        <v>0</v>
      </c>
      <c r="AE64" s="24">
        <f>ROUND(IF(AQ64="7",BI64,0),2)</f>
        <v>0</v>
      </c>
      <c r="AF64" s="24">
        <f>ROUND(IF(AQ64="2",BH64,0),2)</f>
        <v>0</v>
      </c>
      <c r="AG64" s="24">
        <f>ROUND(IF(AQ64="2",BI64,0),2)</f>
        <v>0</v>
      </c>
      <c r="AH64" s="24">
        <f>ROUND(IF(AQ64="0",BJ64,0),2)</f>
        <v>0</v>
      </c>
      <c r="AI64" s="9" t="s">
        <v>51</v>
      </c>
      <c r="AJ64" s="24">
        <f>IF(AN64=0,J64,0)</f>
        <v>0</v>
      </c>
      <c r="AK64" s="24">
        <f>IF(AN64=12,J64,0)</f>
        <v>0</v>
      </c>
      <c r="AL64" s="24">
        <f>IF(AN64=21,J64,0)</f>
        <v>0</v>
      </c>
      <c r="AN64" s="24">
        <v>12</v>
      </c>
      <c r="AO64" s="24">
        <f>G64*0</f>
        <v>0</v>
      </c>
      <c r="AP64" s="24">
        <f>G64*(1-0)</f>
        <v>0</v>
      </c>
      <c r="AQ64" s="26" t="s">
        <v>76</v>
      </c>
      <c r="AV64" s="24">
        <f>ROUND(AW64+AX64,2)</f>
        <v>0</v>
      </c>
      <c r="AW64" s="24">
        <f>ROUND(F64*AO64,2)</f>
        <v>0</v>
      </c>
      <c r="AX64" s="24">
        <f>ROUND(F64*AP64,2)</f>
        <v>0</v>
      </c>
      <c r="AY64" s="26" t="s">
        <v>217</v>
      </c>
      <c r="AZ64" s="26" t="s">
        <v>193</v>
      </c>
      <c r="BA64" s="9" t="s">
        <v>60</v>
      </c>
      <c r="BC64" s="24">
        <f>AW64+AX64</f>
        <v>0</v>
      </c>
      <c r="BD64" s="24">
        <f>G64/(100-BE64)*100</f>
        <v>0</v>
      </c>
      <c r="BE64" s="24">
        <v>0</v>
      </c>
      <c r="BF64" s="24">
        <f>L64</f>
        <v>0</v>
      </c>
      <c r="BH64" s="24">
        <f>F64*AO64</f>
        <v>0</v>
      </c>
      <c r="BI64" s="24">
        <f>F64*AP64</f>
        <v>0</v>
      </c>
      <c r="BJ64" s="24">
        <f>F64*G64</f>
        <v>0</v>
      </c>
      <c r="BK64" s="24"/>
      <c r="BL64" s="24"/>
      <c r="BW64" s="24">
        <v>12</v>
      </c>
      <c r="BX64" s="4" t="s">
        <v>215</v>
      </c>
    </row>
    <row r="65" spans="1:76" ht="14.4" x14ac:dyDescent="0.3">
      <c r="A65" s="2" t="s">
        <v>218</v>
      </c>
      <c r="B65" s="3" t="s">
        <v>219</v>
      </c>
      <c r="C65" s="83" t="s">
        <v>220</v>
      </c>
      <c r="D65" s="78"/>
      <c r="E65" s="3" t="s">
        <v>216</v>
      </c>
      <c r="F65" s="24">
        <v>0.06</v>
      </c>
      <c r="G65" s="24">
        <v>0</v>
      </c>
      <c r="H65" s="24">
        <f>ROUND(F65*AO65,2)</f>
        <v>0</v>
      </c>
      <c r="I65" s="24">
        <f>ROUND(F65*AP65,2)</f>
        <v>0</v>
      </c>
      <c r="J65" s="24">
        <f>ROUND(F65*G65,2)</f>
        <v>0</v>
      </c>
      <c r="K65" s="24">
        <v>0</v>
      </c>
      <c r="L65" s="25">
        <f>F65*K65</f>
        <v>0</v>
      </c>
      <c r="Z65" s="24">
        <f>ROUND(IF(AQ65="5",BJ65,0),2)</f>
        <v>0</v>
      </c>
      <c r="AB65" s="24">
        <f>ROUND(IF(AQ65="1",BH65,0),2)</f>
        <v>0</v>
      </c>
      <c r="AC65" s="24">
        <f>ROUND(IF(AQ65="1",BI65,0),2)</f>
        <v>0</v>
      </c>
      <c r="AD65" s="24">
        <f>ROUND(IF(AQ65="7",BH65,0),2)</f>
        <v>0</v>
      </c>
      <c r="AE65" s="24">
        <f>ROUND(IF(AQ65="7",BI65,0),2)</f>
        <v>0</v>
      </c>
      <c r="AF65" s="24">
        <f>ROUND(IF(AQ65="2",BH65,0),2)</f>
        <v>0</v>
      </c>
      <c r="AG65" s="24">
        <f>ROUND(IF(AQ65="2",BI65,0),2)</f>
        <v>0</v>
      </c>
      <c r="AH65" s="24">
        <f>ROUND(IF(AQ65="0",BJ65,0),2)</f>
        <v>0</v>
      </c>
      <c r="AI65" s="9" t="s">
        <v>51</v>
      </c>
      <c r="AJ65" s="24">
        <f>IF(AN65=0,J65,0)</f>
        <v>0</v>
      </c>
      <c r="AK65" s="24">
        <f>IF(AN65=12,J65,0)</f>
        <v>0</v>
      </c>
      <c r="AL65" s="24">
        <f>IF(AN65=21,J65,0)</f>
        <v>0</v>
      </c>
      <c r="AN65" s="24">
        <v>12</v>
      </c>
      <c r="AO65" s="24">
        <f>G65*0</f>
        <v>0</v>
      </c>
      <c r="AP65" s="24">
        <f>G65*(1-0)</f>
        <v>0</v>
      </c>
      <c r="AQ65" s="26" t="s">
        <v>76</v>
      </c>
      <c r="AV65" s="24">
        <f>ROUND(AW65+AX65,2)</f>
        <v>0</v>
      </c>
      <c r="AW65" s="24">
        <f>ROUND(F65*AO65,2)</f>
        <v>0</v>
      </c>
      <c r="AX65" s="24">
        <f>ROUND(F65*AP65,2)</f>
        <v>0</v>
      </c>
      <c r="AY65" s="26" t="s">
        <v>217</v>
      </c>
      <c r="AZ65" s="26" t="s">
        <v>193</v>
      </c>
      <c r="BA65" s="9" t="s">
        <v>60</v>
      </c>
      <c r="BC65" s="24">
        <f>AW65+AX65</f>
        <v>0</v>
      </c>
      <c r="BD65" s="24">
        <f>G65/(100-BE65)*100</f>
        <v>0</v>
      </c>
      <c r="BE65" s="24">
        <v>0</v>
      </c>
      <c r="BF65" s="24">
        <f>L65</f>
        <v>0</v>
      </c>
      <c r="BH65" s="24">
        <f>F65*AO65</f>
        <v>0</v>
      </c>
      <c r="BI65" s="24">
        <f>F65*AP65</f>
        <v>0</v>
      </c>
      <c r="BJ65" s="24">
        <f>F65*G65</f>
        <v>0</v>
      </c>
      <c r="BK65" s="24"/>
      <c r="BL65" s="24"/>
      <c r="BW65" s="24">
        <v>12</v>
      </c>
      <c r="BX65" s="4" t="s">
        <v>220</v>
      </c>
    </row>
    <row r="66" spans="1:76" ht="14.4" x14ac:dyDescent="0.3">
      <c r="A66" s="27" t="s">
        <v>51</v>
      </c>
      <c r="B66" s="28" t="s">
        <v>221</v>
      </c>
      <c r="C66" s="101" t="s">
        <v>65</v>
      </c>
      <c r="D66" s="102"/>
      <c r="E66" s="29" t="s">
        <v>18</v>
      </c>
      <c r="F66" s="29" t="s">
        <v>18</v>
      </c>
      <c r="G66" s="29" t="s">
        <v>18</v>
      </c>
      <c r="H66" s="1">
        <f>SUM(H67:H67)</f>
        <v>0</v>
      </c>
      <c r="I66" s="1">
        <f>SUM(I67:I67)</f>
        <v>0</v>
      </c>
      <c r="J66" s="1">
        <f>SUM(J67:J67)</f>
        <v>0</v>
      </c>
      <c r="K66" s="9" t="s">
        <v>51</v>
      </c>
      <c r="L66" s="30">
        <f>SUM(L67:L67)</f>
        <v>0</v>
      </c>
      <c r="AI66" s="9" t="s">
        <v>51</v>
      </c>
      <c r="AS66" s="1">
        <f>SUM(AJ67:AJ67)</f>
        <v>0</v>
      </c>
      <c r="AT66" s="1">
        <f>SUM(AK67:AK67)</f>
        <v>0</v>
      </c>
      <c r="AU66" s="1">
        <f>SUM(AL67:AL67)</f>
        <v>0</v>
      </c>
    </row>
    <row r="67" spans="1:76" ht="14.4" x14ac:dyDescent="0.3">
      <c r="A67" s="2" t="s">
        <v>222</v>
      </c>
      <c r="B67" s="3" t="s">
        <v>223</v>
      </c>
      <c r="C67" s="83" t="s">
        <v>224</v>
      </c>
      <c r="D67" s="78"/>
      <c r="E67" s="3" t="s">
        <v>216</v>
      </c>
      <c r="F67" s="24">
        <v>0.03</v>
      </c>
      <c r="G67" s="24">
        <v>0</v>
      </c>
      <c r="H67" s="24">
        <f>ROUND(F67*AO67,2)</f>
        <v>0</v>
      </c>
      <c r="I67" s="24">
        <f>ROUND(F67*AP67,2)</f>
        <v>0</v>
      </c>
      <c r="J67" s="24">
        <f>ROUND(F67*G67,2)</f>
        <v>0</v>
      </c>
      <c r="K67" s="24">
        <v>0</v>
      </c>
      <c r="L67" s="25">
        <f>F67*K67</f>
        <v>0</v>
      </c>
      <c r="Z67" s="24">
        <f>ROUND(IF(AQ67="5",BJ67,0),2)</f>
        <v>0</v>
      </c>
      <c r="AB67" s="24">
        <f>ROUND(IF(AQ67="1",BH67,0),2)</f>
        <v>0</v>
      </c>
      <c r="AC67" s="24">
        <f>ROUND(IF(AQ67="1",BI67,0),2)</f>
        <v>0</v>
      </c>
      <c r="AD67" s="24">
        <f>ROUND(IF(AQ67="7",BH67,0),2)</f>
        <v>0</v>
      </c>
      <c r="AE67" s="24">
        <f>ROUND(IF(AQ67="7",BI67,0),2)</f>
        <v>0</v>
      </c>
      <c r="AF67" s="24">
        <f>ROUND(IF(AQ67="2",BH67,0),2)</f>
        <v>0</v>
      </c>
      <c r="AG67" s="24">
        <f>ROUND(IF(AQ67="2",BI67,0),2)</f>
        <v>0</v>
      </c>
      <c r="AH67" s="24">
        <f>ROUND(IF(AQ67="0",BJ67,0),2)</f>
        <v>0</v>
      </c>
      <c r="AI67" s="9" t="s">
        <v>51</v>
      </c>
      <c r="AJ67" s="24">
        <f>IF(AN67=0,J67,0)</f>
        <v>0</v>
      </c>
      <c r="AK67" s="24">
        <f>IF(AN67=12,J67,0)</f>
        <v>0</v>
      </c>
      <c r="AL67" s="24">
        <f>IF(AN67=21,J67,0)</f>
        <v>0</v>
      </c>
      <c r="AN67" s="24">
        <v>12</v>
      </c>
      <c r="AO67" s="24">
        <f>G67*0</f>
        <v>0</v>
      </c>
      <c r="AP67" s="24">
        <f>G67*(1-0)</f>
        <v>0</v>
      </c>
      <c r="AQ67" s="26" t="s">
        <v>76</v>
      </c>
      <c r="AV67" s="24">
        <f>ROUND(AW67+AX67,2)</f>
        <v>0</v>
      </c>
      <c r="AW67" s="24">
        <f>ROUND(F67*AO67,2)</f>
        <v>0</v>
      </c>
      <c r="AX67" s="24">
        <f>ROUND(F67*AP67,2)</f>
        <v>0</v>
      </c>
      <c r="AY67" s="26" t="s">
        <v>225</v>
      </c>
      <c r="AZ67" s="26" t="s">
        <v>193</v>
      </c>
      <c r="BA67" s="9" t="s">
        <v>60</v>
      </c>
      <c r="BC67" s="24">
        <f>AW67+AX67</f>
        <v>0</v>
      </c>
      <c r="BD67" s="24">
        <f>G67/(100-BE67)*100</f>
        <v>0</v>
      </c>
      <c r="BE67" s="24">
        <v>0</v>
      </c>
      <c r="BF67" s="24">
        <f>L67</f>
        <v>0</v>
      </c>
      <c r="BH67" s="24">
        <f>F67*AO67</f>
        <v>0</v>
      </c>
      <c r="BI67" s="24">
        <f>F67*AP67</f>
        <v>0</v>
      </c>
      <c r="BJ67" s="24">
        <f>F67*G67</f>
        <v>0</v>
      </c>
      <c r="BK67" s="24"/>
      <c r="BL67" s="24"/>
      <c r="BW67" s="24">
        <v>12</v>
      </c>
      <c r="BX67" s="4" t="s">
        <v>224</v>
      </c>
    </row>
    <row r="68" spans="1:76" ht="14.4" x14ac:dyDescent="0.3">
      <c r="A68" s="27" t="s">
        <v>51</v>
      </c>
      <c r="B68" s="28" t="s">
        <v>226</v>
      </c>
      <c r="C68" s="101" t="s">
        <v>88</v>
      </c>
      <c r="D68" s="102"/>
      <c r="E68" s="29" t="s">
        <v>18</v>
      </c>
      <c r="F68" s="29" t="s">
        <v>18</v>
      </c>
      <c r="G68" s="29" t="s">
        <v>18</v>
      </c>
      <c r="H68" s="1">
        <f>SUM(H69:H70)</f>
        <v>0</v>
      </c>
      <c r="I68" s="1">
        <f>SUM(I69:I70)</f>
        <v>0</v>
      </c>
      <c r="J68" s="1">
        <f>SUM(J69:J70)</f>
        <v>0</v>
      </c>
      <c r="K68" s="9" t="s">
        <v>51</v>
      </c>
      <c r="L68" s="30">
        <f>SUM(L69:L70)</f>
        <v>0</v>
      </c>
      <c r="AI68" s="9" t="s">
        <v>51</v>
      </c>
      <c r="AS68" s="1">
        <f>SUM(AJ69:AJ70)</f>
        <v>0</v>
      </c>
      <c r="AT68" s="1">
        <f>SUM(AK69:AK70)</f>
        <v>0</v>
      </c>
      <c r="AU68" s="1">
        <f>SUM(AL69:AL70)</f>
        <v>0</v>
      </c>
    </row>
    <row r="69" spans="1:76" ht="14.4" x14ac:dyDescent="0.3">
      <c r="A69" s="2" t="s">
        <v>227</v>
      </c>
      <c r="B69" s="3" t="s">
        <v>228</v>
      </c>
      <c r="C69" s="83" t="s">
        <v>229</v>
      </c>
      <c r="D69" s="78"/>
      <c r="E69" s="3" t="s">
        <v>216</v>
      </c>
      <c r="F69" s="24">
        <v>0.3</v>
      </c>
      <c r="G69" s="24">
        <v>0</v>
      </c>
      <c r="H69" s="24">
        <f>ROUND(F69*AO69,2)</f>
        <v>0</v>
      </c>
      <c r="I69" s="24">
        <f>ROUND(F69*AP69,2)</f>
        <v>0</v>
      </c>
      <c r="J69" s="24">
        <f>ROUND(F69*G69,2)</f>
        <v>0</v>
      </c>
      <c r="K69" s="24">
        <v>0</v>
      </c>
      <c r="L69" s="25">
        <f>F69*K69</f>
        <v>0</v>
      </c>
      <c r="Z69" s="24">
        <f>ROUND(IF(AQ69="5",BJ69,0),2)</f>
        <v>0</v>
      </c>
      <c r="AB69" s="24">
        <f>ROUND(IF(AQ69="1",BH69,0),2)</f>
        <v>0</v>
      </c>
      <c r="AC69" s="24">
        <f>ROUND(IF(AQ69="1",BI69,0),2)</f>
        <v>0</v>
      </c>
      <c r="AD69" s="24">
        <f>ROUND(IF(AQ69="7",BH69,0),2)</f>
        <v>0</v>
      </c>
      <c r="AE69" s="24">
        <f>ROUND(IF(AQ69="7",BI69,0),2)</f>
        <v>0</v>
      </c>
      <c r="AF69" s="24">
        <f>ROUND(IF(AQ69="2",BH69,0),2)</f>
        <v>0</v>
      </c>
      <c r="AG69" s="24">
        <f>ROUND(IF(AQ69="2",BI69,0),2)</f>
        <v>0</v>
      </c>
      <c r="AH69" s="24">
        <f>ROUND(IF(AQ69="0",BJ69,0),2)</f>
        <v>0</v>
      </c>
      <c r="AI69" s="9" t="s">
        <v>51</v>
      </c>
      <c r="AJ69" s="24">
        <f>IF(AN69=0,J69,0)</f>
        <v>0</v>
      </c>
      <c r="AK69" s="24">
        <f>IF(AN69=12,J69,0)</f>
        <v>0</v>
      </c>
      <c r="AL69" s="24">
        <f>IF(AN69=21,J69,0)</f>
        <v>0</v>
      </c>
      <c r="AN69" s="24">
        <v>12</v>
      </c>
      <c r="AO69" s="24">
        <f>G69*0</f>
        <v>0</v>
      </c>
      <c r="AP69" s="24">
        <f>G69*(1-0)</f>
        <v>0</v>
      </c>
      <c r="AQ69" s="26" t="s">
        <v>76</v>
      </c>
      <c r="AV69" s="24">
        <f>ROUND(AW69+AX69,2)</f>
        <v>0</v>
      </c>
      <c r="AW69" s="24">
        <f>ROUND(F69*AO69,2)</f>
        <v>0</v>
      </c>
      <c r="AX69" s="24">
        <f>ROUND(F69*AP69,2)</f>
        <v>0</v>
      </c>
      <c r="AY69" s="26" t="s">
        <v>230</v>
      </c>
      <c r="AZ69" s="26" t="s">
        <v>193</v>
      </c>
      <c r="BA69" s="9" t="s">
        <v>60</v>
      </c>
      <c r="BC69" s="24">
        <f>AW69+AX69</f>
        <v>0</v>
      </c>
      <c r="BD69" s="24">
        <f>G69/(100-BE69)*100</f>
        <v>0</v>
      </c>
      <c r="BE69" s="24">
        <v>0</v>
      </c>
      <c r="BF69" s="24">
        <f>L69</f>
        <v>0</v>
      </c>
      <c r="BH69" s="24">
        <f>F69*AO69</f>
        <v>0</v>
      </c>
      <c r="BI69" s="24">
        <f>F69*AP69</f>
        <v>0</v>
      </c>
      <c r="BJ69" s="24">
        <f>F69*G69</f>
        <v>0</v>
      </c>
      <c r="BK69" s="24"/>
      <c r="BL69" s="24"/>
      <c r="BW69" s="24">
        <v>12</v>
      </c>
      <c r="BX69" s="4" t="s">
        <v>229</v>
      </c>
    </row>
    <row r="70" spans="1:76" ht="14.4" x14ac:dyDescent="0.3">
      <c r="A70" s="2" t="s">
        <v>231</v>
      </c>
      <c r="B70" s="3" t="s">
        <v>232</v>
      </c>
      <c r="C70" s="83" t="s">
        <v>233</v>
      </c>
      <c r="D70" s="78"/>
      <c r="E70" s="3" t="s">
        <v>216</v>
      </c>
      <c r="F70" s="24">
        <v>0.05</v>
      </c>
      <c r="G70" s="24">
        <v>0</v>
      </c>
      <c r="H70" s="24">
        <f>ROUND(F70*AO70,2)</f>
        <v>0</v>
      </c>
      <c r="I70" s="24">
        <f>ROUND(F70*AP70,2)</f>
        <v>0</v>
      </c>
      <c r="J70" s="24">
        <f>ROUND(F70*G70,2)</f>
        <v>0</v>
      </c>
      <c r="K70" s="24">
        <v>0</v>
      </c>
      <c r="L70" s="25">
        <f>F70*K70</f>
        <v>0</v>
      </c>
      <c r="Z70" s="24">
        <f>ROUND(IF(AQ70="5",BJ70,0),2)</f>
        <v>0</v>
      </c>
      <c r="AB70" s="24">
        <f>ROUND(IF(AQ70="1",BH70,0),2)</f>
        <v>0</v>
      </c>
      <c r="AC70" s="24">
        <f>ROUND(IF(AQ70="1",BI70,0),2)</f>
        <v>0</v>
      </c>
      <c r="AD70" s="24">
        <f>ROUND(IF(AQ70="7",BH70,0),2)</f>
        <v>0</v>
      </c>
      <c r="AE70" s="24">
        <f>ROUND(IF(AQ70="7",BI70,0),2)</f>
        <v>0</v>
      </c>
      <c r="AF70" s="24">
        <f>ROUND(IF(AQ70="2",BH70,0),2)</f>
        <v>0</v>
      </c>
      <c r="AG70" s="24">
        <f>ROUND(IF(AQ70="2",BI70,0),2)</f>
        <v>0</v>
      </c>
      <c r="AH70" s="24">
        <f>ROUND(IF(AQ70="0",BJ70,0),2)</f>
        <v>0</v>
      </c>
      <c r="AI70" s="9" t="s">
        <v>51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12</v>
      </c>
      <c r="AO70" s="24">
        <f>G70*0</f>
        <v>0</v>
      </c>
      <c r="AP70" s="24">
        <f>G70*(1-0)</f>
        <v>0</v>
      </c>
      <c r="AQ70" s="26" t="s">
        <v>76</v>
      </c>
      <c r="AV70" s="24">
        <f>ROUND(AW70+AX70,2)</f>
        <v>0</v>
      </c>
      <c r="AW70" s="24">
        <f>ROUND(F70*AO70,2)</f>
        <v>0</v>
      </c>
      <c r="AX70" s="24">
        <f>ROUND(F70*AP70,2)</f>
        <v>0</v>
      </c>
      <c r="AY70" s="26" t="s">
        <v>230</v>
      </c>
      <c r="AZ70" s="26" t="s">
        <v>193</v>
      </c>
      <c r="BA70" s="9" t="s">
        <v>60</v>
      </c>
      <c r="BC70" s="24">
        <f>AW70+AX70</f>
        <v>0</v>
      </c>
      <c r="BD70" s="24">
        <f>G70/(100-BE70)*100</f>
        <v>0</v>
      </c>
      <c r="BE70" s="24">
        <v>0</v>
      </c>
      <c r="BF70" s="24">
        <f>L70</f>
        <v>0</v>
      </c>
      <c r="BH70" s="24">
        <f>F70*AO70</f>
        <v>0</v>
      </c>
      <c r="BI70" s="24">
        <f>F70*AP70</f>
        <v>0</v>
      </c>
      <c r="BJ70" s="24">
        <f>F70*G70</f>
        <v>0</v>
      </c>
      <c r="BK70" s="24"/>
      <c r="BL70" s="24"/>
      <c r="BW70" s="24">
        <v>12</v>
      </c>
      <c r="BX70" s="4" t="s">
        <v>233</v>
      </c>
    </row>
    <row r="71" spans="1:76" ht="14.4" x14ac:dyDescent="0.3">
      <c r="A71" s="27" t="s">
        <v>51</v>
      </c>
      <c r="B71" s="28" t="s">
        <v>234</v>
      </c>
      <c r="C71" s="101" t="s">
        <v>113</v>
      </c>
      <c r="D71" s="102"/>
      <c r="E71" s="29" t="s">
        <v>18</v>
      </c>
      <c r="F71" s="29" t="s">
        <v>18</v>
      </c>
      <c r="G71" s="29" t="s">
        <v>18</v>
      </c>
      <c r="H71" s="1">
        <f>SUM(H72:H73)</f>
        <v>0</v>
      </c>
      <c r="I71" s="1">
        <f>SUM(I72:I73)</f>
        <v>0</v>
      </c>
      <c r="J71" s="1">
        <f>SUM(J72:J73)</f>
        <v>0</v>
      </c>
      <c r="K71" s="9" t="s">
        <v>51</v>
      </c>
      <c r="L71" s="30">
        <f>SUM(L72:L73)</f>
        <v>0</v>
      </c>
      <c r="AI71" s="9" t="s">
        <v>51</v>
      </c>
      <c r="AS71" s="1">
        <f>SUM(AJ72:AJ73)</f>
        <v>0</v>
      </c>
      <c r="AT71" s="1">
        <f>SUM(AK72:AK73)</f>
        <v>0</v>
      </c>
      <c r="AU71" s="1">
        <f>SUM(AL72:AL73)</f>
        <v>0</v>
      </c>
    </row>
    <row r="72" spans="1:76" ht="14.4" x14ac:dyDescent="0.3">
      <c r="A72" s="2" t="s">
        <v>235</v>
      </c>
      <c r="B72" s="3" t="s">
        <v>236</v>
      </c>
      <c r="C72" s="83" t="s">
        <v>237</v>
      </c>
      <c r="D72" s="78"/>
      <c r="E72" s="3" t="s">
        <v>216</v>
      </c>
      <c r="F72" s="24">
        <v>0.15</v>
      </c>
      <c r="G72" s="24">
        <v>0</v>
      </c>
      <c r="H72" s="24">
        <f>ROUND(F72*AO72,2)</f>
        <v>0</v>
      </c>
      <c r="I72" s="24">
        <f>ROUND(F72*AP72,2)</f>
        <v>0</v>
      </c>
      <c r="J72" s="24">
        <f>ROUND(F72*G72,2)</f>
        <v>0</v>
      </c>
      <c r="K72" s="24">
        <v>0</v>
      </c>
      <c r="L72" s="25">
        <f>F72*K72</f>
        <v>0</v>
      </c>
      <c r="Z72" s="24">
        <f>ROUND(IF(AQ72="5",BJ72,0),2)</f>
        <v>0</v>
      </c>
      <c r="AB72" s="24">
        <f>ROUND(IF(AQ72="1",BH72,0),2)</f>
        <v>0</v>
      </c>
      <c r="AC72" s="24">
        <f>ROUND(IF(AQ72="1",BI72,0),2)</f>
        <v>0</v>
      </c>
      <c r="AD72" s="24">
        <f>ROUND(IF(AQ72="7",BH72,0),2)</f>
        <v>0</v>
      </c>
      <c r="AE72" s="24">
        <f>ROUND(IF(AQ72="7",BI72,0),2)</f>
        <v>0</v>
      </c>
      <c r="AF72" s="24">
        <f>ROUND(IF(AQ72="2",BH72,0),2)</f>
        <v>0</v>
      </c>
      <c r="AG72" s="24">
        <f>ROUND(IF(AQ72="2",BI72,0),2)</f>
        <v>0</v>
      </c>
      <c r="AH72" s="24">
        <f>ROUND(IF(AQ72="0",BJ72,0),2)</f>
        <v>0</v>
      </c>
      <c r="AI72" s="9" t="s">
        <v>51</v>
      </c>
      <c r="AJ72" s="24">
        <f>IF(AN72=0,J72,0)</f>
        <v>0</v>
      </c>
      <c r="AK72" s="24">
        <f>IF(AN72=12,J72,0)</f>
        <v>0</v>
      </c>
      <c r="AL72" s="24">
        <f>IF(AN72=21,J72,0)</f>
        <v>0</v>
      </c>
      <c r="AN72" s="24">
        <v>12</v>
      </c>
      <c r="AO72" s="24">
        <f>G72*0</f>
        <v>0</v>
      </c>
      <c r="AP72" s="24">
        <f>G72*(1-0)</f>
        <v>0</v>
      </c>
      <c r="AQ72" s="26" t="s">
        <v>76</v>
      </c>
      <c r="AV72" s="24">
        <f>ROUND(AW72+AX72,2)</f>
        <v>0</v>
      </c>
      <c r="AW72" s="24">
        <f>ROUND(F72*AO72,2)</f>
        <v>0</v>
      </c>
      <c r="AX72" s="24">
        <f>ROUND(F72*AP72,2)</f>
        <v>0</v>
      </c>
      <c r="AY72" s="26" t="s">
        <v>238</v>
      </c>
      <c r="AZ72" s="26" t="s">
        <v>193</v>
      </c>
      <c r="BA72" s="9" t="s">
        <v>60</v>
      </c>
      <c r="BC72" s="24">
        <f>AW72+AX72</f>
        <v>0</v>
      </c>
      <c r="BD72" s="24">
        <f>G72/(100-BE72)*100</f>
        <v>0</v>
      </c>
      <c r="BE72" s="24">
        <v>0</v>
      </c>
      <c r="BF72" s="24">
        <f>L72</f>
        <v>0</v>
      </c>
      <c r="BH72" s="24">
        <f>F72*AO72</f>
        <v>0</v>
      </c>
      <c r="BI72" s="24">
        <f>F72*AP72</f>
        <v>0</v>
      </c>
      <c r="BJ72" s="24">
        <f>F72*G72</f>
        <v>0</v>
      </c>
      <c r="BK72" s="24"/>
      <c r="BL72" s="24"/>
      <c r="BW72" s="24">
        <v>12</v>
      </c>
      <c r="BX72" s="4" t="s">
        <v>237</v>
      </c>
    </row>
    <row r="73" spans="1:76" ht="14.4" x14ac:dyDescent="0.3">
      <c r="A73" s="2" t="s">
        <v>239</v>
      </c>
      <c r="B73" s="3" t="s">
        <v>240</v>
      </c>
      <c r="C73" s="83" t="s">
        <v>241</v>
      </c>
      <c r="D73" s="78"/>
      <c r="E73" s="3" t="s">
        <v>216</v>
      </c>
      <c r="F73" s="24">
        <v>0.09</v>
      </c>
      <c r="G73" s="24">
        <v>0</v>
      </c>
      <c r="H73" s="24">
        <f>ROUND(F73*AO73,2)</f>
        <v>0</v>
      </c>
      <c r="I73" s="24">
        <f>ROUND(F73*AP73,2)</f>
        <v>0</v>
      </c>
      <c r="J73" s="24">
        <f>ROUND(F73*G73,2)</f>
        <v>0</v>
      </c>
      <c r="K73" s="24">
        <v>0</v>
      </c>
      <c r="L73" s="25">
        <f>F73*K73</f>
        <v>0</v>
      </c>
      <c r="Z73" s="24">
        <f>ROUND(IF(AQ73="5",BJ73,0),2)</f>
        <v>0</v>
      </c>
      <c r="AB73" s="24">
        <f>ROUND(IF(AQ73="1",BH73,0),2)</f>
        <v>0</v>
      </c>
      <c r="AC73" s="24">
        <f>ROUND(IF(AQ73="1",BI73,0),2)</f>
        <v>0</v>
      </c>
      <c r="AD73" s="24">
        <f>ROUND(IF(AQ73="7",BH73,0),2)</f>
        <v>0</v>
      </c>
      <c r="AE73" s="24">
        <f>ROUND(IF(AQ73="7",BI73,0),2)</f>
        <v>0</v>
      </c>
      <c r="AF73" s="24">
        <f>ROUND(IF(AQ73="2",BH73,0),2)</f>
        <v>0</v>
      </c>
      <c r="AG73" s="24">
        <f>ROUND(IF(AQ73="2",BI73,0),2)</f>
        <v>0</v>
      </c>
      <c r="AH73" s="24">
        <f>ROUND(IF(AQ73="0",BJ73,0),2)</f>
        <v>0</v>
      </c>
      <c r="AI73" s="9" t="s">
        <v>51</v>
      </c>
      <c r="AJ73" s="24">
        <f>IF(AN73=0,J73,0)</f>
        <v>0</v>
      </c>
      <c r="AK73" s="24">
        <f>IF(AN73=12,J73,0)</f>
        <v>0</v>
      </c>
      <c r="AL73" s="24">
        <f>IF(AN73=21,J73,0)</f>
        <v>0</v>
      </c>
      <c r="AN73" s="24">
        <v>12</v>
      </c>
      <c r="AO73" s="24">
        <f>G73*0</f>
        <v>0</v>
      </c>
      <c r="AP73" s="24">
        <f>G73*(1-0)</f>
        <v>0</v>
      </c>
      <c r="AQ73" s="26" t="s">
        <v>76</v>
      </c>
      <c r="AV73" s="24">
        <f>ROUND(AW73+AX73,2)</f>
        <v>0</v>
      </c>
      <c r="AW73" s="24">
        <f>ROUND(F73*AO73,2)</f>
        <v>0</v>
      </c>
      <c r="AX73" s="24">
        <f>ROUND(F73*AP73,2)</f>
        <v>0</v>
      </c>
      <c r="AY73" s="26" t="s">
        <v>238</v>
      </c>
      <c r="AZ73" s="26" t="s">
        <v>193</v>
      </c>
      <c r="BA73" s="9" t="s">
        <v>60</v>
      </c>
      <c r="BC73" s="24">
        <f>AW73+AX73</f>
        <v>0</v>
      </c>
      <c r="BD73" s="24">
        <f>G73/(100-BE73)*100</f>
        <v>0</v>
      </c>
      <c r="BE73" s="24">
        <v>0</v>
      </c>
      <c r="BF73" s="24">
        <f>L73</f>
        <v>0</v>
      </c>
      <c r="BH73" s="24">
        <f>F73*AO73</f>
        <v>0</v>
      </c>
      <c r="BI73" s="24">
        <f>F73*AP73</f>
        <v>0</v>
      </c>
      <c r="BJ73" s="24">
        <f>F73*G73</f>
        <v>0</v>
      </c>
      <c r="BK73" s="24"/>
      <c r="BL73" s="24"/>
      <c r="BW73" s="24">
        <v>12</v>
      </c>
      <c r="BX73" s="4" t="s">
        <v>241</v>
      </c>
    </row>
    <row r="74" spans="1:76" ht="14.4" x14ac:dyDescent="0.3">
      <c r="A74" s="27" t="s">
        <v>51</v>
      </c>
      <c r="B74" s="28" t="s">
        <v>242</v>
      </c>
      <c r="C74" s="101" t="s">
        <v>243</v>
      </c>
      <c r="D74" s="102"/>
      <c r="E74" s="29" t="s">
        <v>18</v>
      </c>
      <c r="F74" s="29" t="s">
        <v>18</v>
      </c>
      <c r="G74" s="29" t="s">
        <v>18</v>
      </c>
      <c r="H74" s="1">
        <f>SUM(H75:H76)</f>
        <v>0</v>
      </c>
      <c r="I74" s="1">
        <f>SUM(I75:I76)</f>
        <v>0</v>
      </c>
      <c r="J74" s="1">
        <f>SUM(J75:J76)</f>
        <v>0</v>
      </c>
      <c r="K74" s="9" t="s">
        <v>51</v>
      </c>
      <c r="L74" s="30">
        <f>SUM(L75:L76)</f>
        <v>0</v>
      </c>
      <c r="AI74" s="9" t="s">
        <v>51</v>
      </c>
      <c r="AS74" s="1">
        <f>SUM(AJ75:AJ76)</f>
        <v>0</v>
      </c>
      <c r="AT74" s="1">
        <f>SUM(AK75:AK76)</f>
        <v>0</v>
      </c>
      <c r="AU74" s="1">
        <f>SUM(AL75:AL76)</f>
        <v>0</v>
      </c>
    </row>
    <row r="75" spans="1:76" ht="14.4" x14ac:dyDescent="0.3">
      <c r="A75" s="2" t="s">
        <v>244</v>
      </c>
      <c r="B75" s="3" t="s">
        <v>245</v>
      </c>
      <c r="C75" s="83" t="s">
        <v>246</v>
      </c>
      <c r="D75" s="78"/>
      <c r="E75" s="3" t="s">
        <v>216</v>
      </c>
      <c r="F75" s="24">
        <v>0.4</v>
      </c>
      <c r="G75" s="24">
        <v>0</v>
      </c>
      <c r="H75" s="24">
        <f>ROUND(F75*AO75,2)</f>
        <v>0</v>
      </c>
      <c r="I75" s="24">
        <f>ROUND(F75*AP75,2)</f>
        <v>0</v>
      </c>
      <c r="J75" s="24">
        <f>ROUND(F75*G75,2)</f>
        <v>0</v>
      </c>
      <c r="K75" s="24">
        <v>0</v>
      </c>
      <c r="L75" s="25">
        <f>F75*K75</f>
        <v>0</v>
      </c>
      <c r="Z75" s="24">
        <f>ROUND(IF(AQ75="5",BJ75,0),2)</f>
        <v>0</v>
      </c>
      <c r="AB75" s="24">
        <f>ROUND(IF(AQ75="1",BH75,0),2)</f>
        <v>0</v>
      </c>
      <c r="AC75" s="24">
        <f>ROUND(IF(AQ75="1",BI75,0),2)</f>
        <v>0</v>
      </c>
      <c r="AD75" s="24">
        <f>ROUND(IF(AQ75="7",BH75,0),2)</f>
        <v>0</v>
      </c>
      <c r="AE75" s="24">
        <f>ROUND(IF(AQ75="7",BI75,0),2)</f>
        <v>0</v>
      </c>
      <c r="AF75" s="24">
        <f>ROUND(IF(AQ75="2",BH75,0),2)</f>
        <v>0</v>
      </c>
      <c r="AG75" s="24">
        <f>ROUND(IF(AQ75="2",BI75,0),2)</f>
        <v>0</v>
      </c>
      <c r="AH75" s="24">
        <f>ROUND(IF(AQ75="0",BJ75,0),2)</f>
        <v>0</v>
      </c>
      <c r="AI75" s="9" t="s">
        <v>51</v>
      </c>
      <c r="AJ75" s="24">
        <f>IF(AN75=0,J75,0)</f>
        <v>0</v>
      </c>
      <c r="AK75" s="24">
        <f>IF(AN75=12,J75,0)</f>
        <v>0</v>
      </c>
      <c r="AL75" s="24">
        <f>IF(AN75=21,J75,0)</f>
        <v>0</v>
      </c>
      <c r="AN75" s="24">
        <v>12</v>
      </c>
      <c r="AO75" s="24">
        <f>G75*0</f>
        <v>0</v>
      </c>
      <c r="AP75" s="24">
        <f>G75*(1-0)</f>
        <v>0</v>
      </c>
      <c r="AQ75" s="26" t="s">
        <v>76</v>
      </c>
      <c r="AV75" s="24">
        <f>ROUND(AW75+AX75,2)</f>
        <v>0</v>
      </c>
      <c r="AW75" s="24">
        <f>ROUND(F75*AO75,2)</f>
        <v>0</v>
      </c>
      <c r="AX75" s="24">
        <f>ROUND(F75*AP75,2)</f>
        <v>0</v>
      </c>
      <c r="AY75" s="26" t="s">
        <v>247</v>
      </c>
      <c r="AZ75" s="26" t="s">
        <v>193</v>
      </c>
      <c r="BA75" s="9" t="s">
        <v>60</v>
      </c>
      <c r="BC75" s="24">
        <f>AW75+AX75</f>
        <v>0</v>
      </c>
      <c r="BD75" s="24">
        <f>G75/(100-BE75)*100</f>
        <v>0</v>
      </c>
      <c r="BE75" s="24">
        <v>0</v>
      </c>
      <c r="BF75" s="24">
        <f>L75</f>
        <v>0</v>
      </c>
      <c r="BH75" s="24">
        <f>F75*AO75</f>
        <v>0</v>
      </c>
      <c r="BI75" s="24">
        <f>F75*AP75</f>
        <v>0</v>
      </c>
      <c r="BJ75" s="24">
        <f>F75*G75</f>
        <v>0</v>
      </c>
      <c r="BK75" s="24"/>
      <c r="BL75" s="24"/>
      <c r="BW75" s="24">
        <v>12</v>
      </c>
      <c r="BX75" s="4" t="s">
        <v>246</v>
      </c>
    </row>
    <row r="76" spans="1:76" ht="14.4" x14ac:dyDescent="0.3">
      <c r="A76" s="2" t="s">
        <v>248</v>
      </c>
      <c r="B76" s="3" t="s">
        <v>249</v>
      </c>
      <c r="C76" s="83" t="s">
        <v>250</v>
      </c>
      <c r="D76" s="78"/>
      <c r="E76" s="3" t="s">
        <v>216</v>
      </c>
      <c r="F76" s="24">
        <v>0.18</v>
      </c>
      <c r="G76" s="24">
        <v>0</v>
      </c>
      <c r="H76" s="24">
        <f>ROUND(F76*AO76,2)</f>
        <v>0</v>
      </c>
      <c r="I76" s="24">
        <f>ROUND(F76*AP76,2)</f>
        <v>0</v>
      </c>
      <c r="J76" s="24">
        <f>ROUND(F76*G76,2)</f>
        <v>0</v>
      </c>
      <c r="K76" s="24">
        <v>0</v>
      </c>
      <c r="L76" s="25">
        <f>F76*K76</f>
        <v>0</v>
      </c>
      <c r="Z76" s="24">
        <f>ROUND(IF(AQ76="5",BJ76,0),2)</f>
        <v>0</v>
      </c>
      <c r="AB76" s="24">
        <f>ROUND(IF(AQ76="1",BH76,0),2)</f>
        <v>0</v>
      </c>
      <c r="AC76" s="24">
        <f>ROUND(IF(AQ76="1",BI76,0),2)</f>
        <v>0</v>
      </c>
      <c r="AD76" s="24">
        <f>ROUND(IF(AQ76="7",BH76,0),2)</f>
        <v>0</v>
      </c>
      <c r="AE76" s="24">
        <f>ROUND(IF(AQ76="7",BI76,0),2)</f>
        <v>0</v>
      </c>
      <c r="AF76" s="24">
        <f>ROUND(IF(AQ76="2",BH76,0),2)</f>
        <v>0</v>
      </c>
      <c r="AG76" s="24">
        <f>ROUND(IF(AQ76="2",BI76,0),2)</f>
        <v>0</v>
      </c>
      <c r="AH76" s="24">
        <f>ROUND(IF(AQ76="0",BJ76,0),2)</f>
        <v>0</v>
      </c>
      <c r="AI76" s="9" t="s">
        <v>51</v>
      </c>
      <c r="AJ76" s="24">
        <f>IF(AN76=0,J76,0)</f>
        <v>0</v>
      </c>
      <c r="AK76" s="24">
        <f>IF(AN76=12,J76,0)</f>
        <v>0</v>
      </c>
      <c r="AL76" s="24">
        <f>IF(AN76=21,J76,0)</f>
        <v>0</v>
      </c>
      <c r="AN76" s="24">
        <v>12</v>
      </c>
      <c r="AO76" s="24">
        <f>G76*0</f>
        <v>0</v>
      </c>
      <c r="AP76" s="24">
        <f>G76*(1-0)</f>
        <v>0</v>
      </c>
      <c r="AQ76" s="26" t="s">
        <v>76</v>
      </c>
      <c r="AV76" s="24">
        <f>ROUND(AW76+AX76,2)</f>
        <v>0</v>
      </c>
      <c r="AW76" s="24">
        <f>ROUND(F76*AO76,2)</f>
        <v>0</v>
      </c>
      <c r="AX76" s="24">
        <f>ROUND(F76*AP76,2)</f>
        <v>0</v>
      </c>
      <c r="AY76" s="26" t="s">
        <v>247</v>
      </c>
      <c r="AZ76" s="26" t="s">
        <v>193</v>
      </c>
      <c r="BA76" s="9" t="s">
        <v>60</v>
      </c>
      <c r="BC76" s="24">
        <f>AW76+AX76</f>
        <v>0</v>
      </c>
      <c r="BD76" s="24">
        <f>G76/(100-BE76)*100</f>
        <v>0</v>
      </c>
      <c r="BE76" s="24">
        <v>0</v>
      </c>
      <c r="BF76" s="24">
        <f>L76</f>
        <v>0</v>
      </c>
      <c r="BH76" s="24">
        <f>F76*AO76</f>
        <v>0</v>
      </c>
      <c r="BI76" s="24">
        <f>F76*AP76</f>
        <v>0</v>
      </c>
      <c r="BJ76" s="24">
        <f>F76*G76</f>
        <v>0</v>
      </c>
      <c r="BK76" s="24"/>
      <c r="BL76" s="24"/>
      <c r="BW76" s="24">
        <v>12</v>
      </c>
      <c r="BX76" s="4" t="s">
        <v>250</v>
      </c>
    </row>
    <row r="77" spans="1:76" ht="14.4" x14ac:dyDescent="0.3">
      <c r="A77" s="27" t="s">
        <v>51</v>
      </c>
      <c r="B77" s="28" t="s">
        <v>251</v>
      </c>
      <c r="C77" s="101" t="s">
        <v>252</v>
      </c>
      <c r="D77" s="102"/>
      <c r="E77" s="29" t="s">
        <v>18</v>
      </c>
      <c r="F77" s="29" t="s">
        <v>18</v>
      </c>
      <c r="G77" s="29" t="s">
        <v>18</v>
      </c>
      <c r="H77" s="1">
        <f>SUM(H78:H79)</f>
        <v>0</v>
      </c>
      <c r="I77" s="1">
        <f>SUM(I78:I79)</f>
        <v>0</v>
      </c>
      <c r="J77" s="1">
        <f>SUM(J78:J79)</f>
        <v>0</v>
      </c>
      <c r="K77" s="9" t="s">
        <v>51</v>
      </c>
      <c r="L77" s="30">
        <f>SUM(L78:L79)</f>
        <v>0</v>
      </c>
      <c r="AI77" s="9" t="s">
        <v>51</v>
      </c>
      <c r="AS77" s="1">
        <f>SUM(AJ78:AJ79)</f>
        <v>0</v>
      </c>
      <c r="AT77" s="1">
        <f>SUM(AK78:AK79)</f>
        <v>0</v>
      </c>
      <c r="AU77" s="1">
        <f>SUM(AL78:AL79)</f>
        <v>0</v>
      </c>
    </row>
    <row r="78" spans="1:76" ht="14.4" x14ac:dyDescent="0.3">
      <c r="A78" s="2" t="s">
        <v>253</v>
      </c>
      <c r="B78" s="3" t="s">
        <v>254</v>
      </c>
      <c r="C78" s="83" t="s">
        <v>255</v>
      </c>
      <c r="D78" s="78"/>
      <c r="E78" s="3" t="s">
        <v>216</v>
      </c>
      <c r="F78" s="24">
        <v>1.5</v>
      </c>
      <c r="G78" s="24">
        <v>0</v>
      </c>
      <c r="H78" s="24">
        <f>ROUND(F78*AO78,2)</f>
        <v>0</v>
      </c>
      <c r="I78" s="24">
        <f>ROUND(F78*AP78,2)</f>
        <v>0</v>
      </c>
      <c r="J78" s="24">
        <f>ROUND(F78*G78,2)</f>
        <v>0</v>
      </c>
      <c r="K78" s="24">
        <v>0</v>
      </c>
      <c r="L78" s="25">
        <f>F78*K78</f>
        <v>0</v>
      </c>
      <c r="Z78" s="24">
        <f>ROUND(IF(AQ78="5",BJ78,0),2)</f>
        <v>0</v>
      </c>
      <c r="AB78" s="24">
        <f>ROUND(IF(AQ78="1",BH78,0),2)</f>
        <v>0</v>
      </c>
      <c r="AC78" s="24">
        <f>ROUND(IF(AQ78="1",BI78,0),2)</f>
        <v>0</v>
      </c>
      <c r="AD78" s="24">
        <f>ROUND(IF(AQ78="7",BH78,0),2)</f>
        <v>0</v>
      </c>
      <c r="AE78" s="24">
        <f>ROUND(IF(AQ78="7",BI78,0),2)</f>
        <v>0</v>
      </c>
      <c r="AF78" s="24">
        <f>ROUND(IF(AQ78="2",BH78,0),2)</f>
        <v>0</v>
      </c>
      <c r="AG78" s="24">
        <f>ROUND(IF(AQ78="2",BI78,0),2)</f>
        <v>0</v>
      </c>
      <c r="AH78" s="24">
        <f>ROUND(IF(AQ78="0",BJ78,0),2)</f>
        <v>0</v>
      </c>
      <c r="AI78" s="9" t="s">
        <v>51</v>
      </c>
      <c r="AJ78" s="24">
        <f>IF(AN78=0,J78,0)</f>
        <v>0</v>
      </c>
      <c r="AK78" s="24">
        <f>IF(AN78=12,J78,0)</f>
        <v>0</v>
      </c>
      <c r="AL78" s="24">
        <f>IF(AN78=21,J78,0)</f>
        <v>0</v>
      </c>
      <c r="AN78" s="24">
        <v>12</v>
      </c>
      <c r="AO78" s="24">
        <f>G78*0</f>
        <v>0</v>
      </c>
      <c r="AP78" s="24">
        <f>G78*(1-0)</f>
        <v>0</v>
      </c>
      <c r="AQ78" s="26" t="s">
        <v>76</v>
      </c>
      <c r="AV78" s="24">
        <f>ROUND(AW78+AX78,2)</f>
        <v>0</v>
      </c>
      <c r="AW78" s="24">
        <f>ROUND(F78*AO78,2)</f>
        <v>0</v>
      </c>
      <c r="AX78" s="24">
        <f>ROUND(F78*AP78,2)</f>
        <v>0</v>
      </c>
      <c r="AY78" s="26" t="s">
        <v>256</v>
      </c>
      <c r="AZ78" s="26" t="s">
        <v>193</v>
      </c>
      <c r="BA78" s="9" t="s">
        <v>60</v>
      </c>
      <c r="BC78" s="24">
        <f>AW78+AX78</f>
        <v>0</v>
      </c>
      <c r="BD78" s="24">
        <f>G78/(100-BE78)*100</f>
        <v>0</v>
      </c>
      <c r="BE78" s="24">
        <v>0</v>
      </c>
      <c r="BF78" s="24">
        <f>L78</f>
        <v>0</v>
      </c>
      <c r="BH78" s="24">
        <f>F78*AO78</f>
        <v>0</v>
      </c>
      <c r="BI78" s="24">
        <f>F78*AP78</f>
        <v>0</v>
      </c>
      <c r="BJ78" s="24">
        <f>F78*G78</f>
        <v>0</v>
      </c>
      <c r="BK78" s="24"/>
      <c r="BL78" s="24"/>
      <c r="BW78" s="24">
        <v>12</v>
      </c>
      <c r="BX78" s="4" t="s">
        <v>255</v>
      </c>
    </row>
    <row r="79" spans="1:76" ht="14.4" x14ac:dyDescent="0.3">
      <c r="A79" s="35" t="s">
        <v>257</v>
      </c>
      <c r="B79" s="36" t="s">
        <v>258</v>
      </c>
      <c r="C79" s="103" t="s">
        <v>259</v>
      </c>
      <c r="D79" s="104"/>
      <c r="E79" s="36" t="s">
        <v>216</v>
      </c>
      <c r="F79" s="37">
        <v>3</v>
      </c>
      <c r="G79" s="37">
        <v>0</v>
      </c>
      <c r="H79" s="37">
        <f>ROUND(F79*AO79,2)</f>
        <v>0</v>
      </c>
      <c r="I79" s="37">
        <f>ROUND(F79*AP79,2)</f>
        <v>0</v>
      </c>
      <c r="J79" s="37">
        <f>ROUND(F79*G79,2)</f>
        <v>0</v>
      </c>
      <c r="K79" s="37">
        <v>0</v>
      </c>
      <c r="L79" s="38">
        <f>F79*K79</f>
        <v>0</v>
      </c>
      <c r="Z79" s="24">
        <f>ROUND(IF(AQ79="5",BJ79,0),2)</f>
        <v>0</v>
      </c>
      <c r="AB79" s="24">
        <f>ROUND(IF(AQ79="1",BH79,0),2)</f>
        <v>0</v>
      </c>
      <c r="AC79" s="24">
        <f>ROUND(IF(AQ79="1",BI79,0),2)</f>
        <v>0</v>
      </c>
      <c r="AD79" s="24">
        <f>ROUND(IF(AQ79="7",BH79,0),2)</f>
        <v>0</v>
      </c>
      <c r="AE79" s="24">
        <f>ROUND(IF(AQ79="7",BI79,0),2)</f>
        <v>0</v>
      </c>
      <c r="AF79" s="24">
        <f>ROUND(IF(AQ79="2",BH79,0),2)</f>
        <v>0</v>
      </c>
      <c r="AG79" s="24">
        <f>ROUND(IF(AQ79="2",BI79,0),2)</f>
        <v>0</v>
      </c>
      <c r="AH79" s="24">
        <f>ROUND(IF(AQ79="0",BJ79,0),2)</f>
        <v>0</v>
      </c>
      <c r="AI79" s="9" t="s">
        <v>51</v>
      </c>
      <c r="AJ79" s="24">
        <f>IF(AN79=0,J79,0)</f>
        <v>0</v>
      </c>
      <c r="AK79" s="24">
        <f>IF(AN79=12,J79,0)</f>
        <v>0</v>
      </c>
      <c r="AL79" s="24">
        <f>IF(AN79=21,J79,0)</f>
        <v>0</v>
      </c>
      <c r="AN79" s="24">
        <v>12</v>
      </c>
      <c r="AO79" s="24">
        <f>G79*0</f>
        <v>0</v>
      </c>
      <c r="AP79" s="24">
        <f>G79*(1-0)</f>
        <v>0</v>
      </c>
      <c r="AQ79" s="26" t="s">
        <v>76</v>
      </c>
      <c r="AV79" s="24">
        <f>ROUND(AW79+AX79,2)</f>
        <v>0</v>
      </c>
      <c r="AW79" s="24">
        <f>ROUND(F79*AO79,2)</f>
        <v>0</v>
      </c>
      <c r="AX79" s="24">
        <f>ROUND(F79*AP79,2)</f>
        <v>0</v>
      </c>
      <c r="AY79" s="26" t="s">
        <v>256</v>
      </c>
      <c r="AZ79" s="26" t="s">
        <v>193</v>
      </c>
      <c r="BA79" s="9" t="s">
        <v>60</v>
      </c>
      <c r="BC79" s="24">
        <f>AW79+AX79</f>
        <v>0</v>
      </c>
      <c r="BD79" s="24">
        <f>G79/(100-BE79)*100</f>
        <v>0</v>
      </c>
      <c r="BE79" s="24">
        <v>0</v>
      </c>
      <c r="BF79" s="24">
        <f>L79</f>
        <v>0</v>
      </c>
      <c r="BH79" s="24">
        <f>F79*AO79</f>
        <v>0</v>
      </c>
      <c r="BI79" s="24">
        <f>F79*AP79</f>
        <v>0</v>
      </c>
      <c r="BJ79" s="24">
        <f>F79*G79</f>
        <v>0</v>
      </c>
      <c r="BK79" s="24"/>
      <c r="BL79" s="24"/>
      <c r="BW79" s="24">
        <v>12</v>
      </c>
      <c r="BX79" s="4" t="s">
        <v>259</v>
      </c>
    </row>
    <row r="80" spans="1:76" ht="14.4" x14ac:dyDescent="0.3">
      <c r="H80" s="105" t="s">
        <v>260</v>
      </c>
      <c r="I80" s="105"/>
      <c r="J80" s="39">
        <f>ROUND(J12+J15+J22+J30+J41+J55+J58+J63+J66+J68+J71+J74+J77,0)</f>
        <v>0</v>
      </c>
    </row>
    <row r="81" spans="1:12" ht="14.4" x14ac:dyDescent="0.3">
      <c r="A81" s="40" t="s">
        <v>261</v>
      </c>
    </row>
    <row r="82" spans="1:12" ht="13.5" customHeight="1" x14ac:dyDescent="0.3">
      <c r="A82" s="83" t="s">
        <v>262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</row>
  </sheetData>
  <mergeCells count="98">
    <mergeCell ref="H80:I80"/>
    <mergeCell ref="A82:L82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1:D11"/>
    <mergeCell ref="H10:J10"/>
    <mergeCell ref="K10:L10"/>
    <mergeCell ref="C12:D12"/>
    <mergeCell ref="C13:D13"/>
    <mergeCell ref="I2:L3"/>
    <mergeCell ref="I4:L5"/>
    <mergeCell ref="I6:L7"/>
    <mergeCell ref="I8:L9"/>
    <mergeCell ref="C10:D10"/>
    <mergeCell ref="C8:D9"/>
    <mergeCell ref="G2:G3"/>
    <mergeCell ref="G4:G5"/>
    <mergeCell ref="G6:G7"/>
    <mergeCell ref="G8:G9"/>
    <mergeCell ref="A1:L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A81" sqref="A81:G81"/>
    </sheetView>
  </sheetViews>
  <sheetFormatPr defaultColWidth="12.109375" defaultRowHeight="15" customHeight="1" x14ac:dyDescent="0.3"/>
  <cols>
    <col min="1" max="2" width="9.109375" customWidth="1"/>
    <col min="3" max="3" width="14.33203125" customWidth="1"/>
    <col min="4" max="4" width="42.88671875" customWidth="1"/>
    <col min="5" max="5" width="50.44140625" customWidth="1"/>
    <col min="6" max="6" width="24.109375" customWidth="1"/>
    <col min="7" max="7" width="15.6640625" customWidth="1"/>
    <col min="8" max="8" width="20" customWidth="1"/>
  </cols>
  <sheetData>
    <row r="1" spans="1:8" ht="54.75" customHeight="1" x14ac:dyDescent="0.3">
      <c r="A1" s="74" t="s">
        <v>263</v>
      </c>
      <c r="B1" s="74"/>
      <c r="C1" s="74"/>
      <c r="D1" s="74"/>
      <c r="E1" s="74"/>
      <c r="F1" s="74"/>
      <c r="G1" s="74"/>
      <c r="H1" s="74"/>
    </row>
    <row r="2" spans="1:8" ht="14.4" x14ac:dyDescent="0.3">
      <c r="A2" s="75" t="s">
        <v>1</v>
      </c>
      <c r="B2" s="76"/>
      <c r="C2" s="84" t="str">
        <f>'Stavební rozpočet'!C2</f>
        <v>Stavební úpravy bytového domu - část VYTÁPĚNÍ</v>
      </c>
      <c r="D2" s="85"/>
      <c r="E2" s="82" t="s">
        <v>5</v>
      </c>
      <c r="F2" s="82" t="str">
        <f>'Stavební rozpočet'!I2</f>
        <v>Město Bohumín, Masarykova158, 735 81 Bohumín</v>
      </c>
      <c r="G2" s="76"/>
      <c r="H2" s="87"/>
    </row>
    <row r="3" spans="1:8" ht="15" customHeight="1" x14ac:dyDescent="0.3">
      <c r="A3" s="77"/>
      <c r="B3" s="78"/>
      <c r="C3" s="86"/>
      <c r="D3" s="86"/>
      <c r="E3" s="78"/>
      <c r="F3" s="78"/>
      <c r="G3" s="78"/>
      <c r="H3" s="88"/>
    </row>
    <row r="4" spans="1:8" ht="14.4" x14ac:dyDescent="0.3">
      <c r="A4" s="79" t="s">
        <v>7</v>
      </c>
      <c r="B4" s="78"/>
      <c r="C4" s="83" t="str">
        <f>'Stavební rozpočet'!C4</f>
        <v>Budova pro bydlení</v>
      </c>
      <c r="D4" s="78"/>
      <c r="E4" s="83" t="s">
        <v>10</v>
      </c>
      <c r="F4" s="83" t="str">
        <f>'Stavební rozpočet'!I4</f>
        <v>Ing. Stanislav Wilczek</v>
      </c>
      <c r="G4" s="78"/>
      <c r="H4" s="88"/>
    </row>
    <row r="5" spans="1:8" ht="15" customHeight="1" x14ac:dyDescent="0.3">
      <c r="A5" s="77"/>
      <c r="B5" s="78"/>
      <c r="C5" s="78"/>
      <c r="D5" s="78"/>
      <c r="E5" s="78"/>
      <c r="F5" s="78"/>
      <c r="G5" s="78"/>
      <c r="H5" s="88"/>
    </row>
    <row r="6" spans="1:8" ht="14.4" x14ac:dyDescent="0.3">
      <c r="A6" s="79" t="s">
        <v>12</v>
      </c>
      <c r="B6" s="78"/>
      <c r="C6" s="83" t="str">
        <f>'Stavební rozpočet'!C6</f>
        <v>Partyzánská 302, Bohumín – Pudlov</v>
      </c>
      <c r="D6" s="78"/>
      <c r="E6" s="83" t="s">
        <v>15</v>
      </c>
      <c r="F6" s="83" t="str">
        <f>'Stavební rozpočet'!I6</f>
        <v> </v>
      </c>
      <c r="G6" s="78"/>
      <c r="H6" s="88"/>
    </row>
    <row r="7" spans="1:8" ht="15" customHeight="1" x14ac:dyDescent="0.3">
      <c r="A7" s="77"/>
      <c r="B7" s="78"/>
      <c r="C7" s="78"/>
      <c r="D7" s="78"/>
      <c r="E7" s="78"/>
      <c r="F7" s="78"/>
      <c r="G7" s="78"/>
      <c r="H7" s="88"/>
    </row>
    <row r="8" spans="1:8" ht="14.4" x14ac:dyDescent="0.3">
      <c r="A8" s="79" t="s">
        <v>21</v>
      </c>
      <c r="B8" s="78"/>
      <c r="C8" s="83" t="str">
        <f>'Stavební rozpočet'!I8</f>
        <v>Ing. Stanislav Wilczek</v>
      </c>
      <c r="D8" s="78"/>
      <c r="E8" s="83" t="s">
        <v>19</v>
      </c>
      <c r="F8" s="83" t="str">
        <f>'Stavební rozpočet'!G8</f>
        <v>16.02.2025</v>
      </c>
      <c r="G8" s="78"/>
      <c r="H8" s="88"/>
    </row>
    <row r="9" spans="1:8" ht="14.4" x14ac:dyDescent="0.3">
      <c r="A9" s="80"/>
      <c r="B9" s="81"/>
      <c r="C9" s="81"/>
      <c r="D9" s="81"/>
      <c r="E9" s="81"/>
      <c r="F9" s="81"/>
      <c r="G9" s="81"/>
      <c r="H9" s="89"/>
    </row>
    <row r="10" spans="1:8" ht="14.4" x14ac:dyDescent="0.3">
      <c r="A10" s="41" t="s">
        <v>22</v>
      </c>
      <c r="B10" s="42" t="s">
        <v>264</v>
      </c>
      <c r="C10" s="42" t="s">
        <v>23</v>
      </c>
      <c r="D10" s="106" t="s">
        <v>24</v>
      </c>
      <c r="E10" s="107"/>
      <c r="F10" s="42" t="s">
        <v>25</v>
      </c>
      <c r="G10" s="43" t="s">
        <v>26</v>
      </c>
      <c r="H10" s="44" t="s">
        <v>265</v>
      </c>
    </row>
    <row r="11" spans="1:8" ht="14.4" x14ac:dyDescent="0.3">
      <c r="A11" s="45" t="s">
        <v>51</v>
      </c>
      <c r="B11" s="19" t="s">
        <v>51</v>
      </c>
      <c r="C11" s="19" t="s">
        <v>52</v>
      </c>
      <c r="D11" s="100" t="s">
        <v>53</v>
      </c>
      <c r="E11" s="100"/>
      <c r="F11" s="19" t="s">
        <v>51</v>
      </c>
      <c r="G11" s="22" t="s">
        <v>51</v>
      </c>
      <c r="H11" s="46" t="s">
        <v>51</v>
      </c>
    </row>
    <row r="12" spans="1:8" ht="14.4" x14ac:dyDescent="0.3">
      <c r="A12" s="2" t="s">
        <v>54</v>
      </c>
      <c r="B12" s="3" t="s">
        <v>51</v>
      </c>
      <c r="C12" s="3" t="s">
        <v>55</v>
      </c>
      <c r="D12" s="78" t="s">
        <v>56</v>
      </c>
      <c r="E12" s="78"/>
      <c r="F12" s="3" t="s">
        <v>57</v>
      </c>
      <c r="G12" s="24">
        <v>30</v>
      </c>
      <c r="H12" s="25">
        <v>0</v>
      </c>
    </row>
    <row r="13" spans="1:8" ht="14.4" x14ac:dyDescent="0.3">
      <c r="A13" s="2" t="s">
        <v>61</v>
      </c>
      <c r="B13" s="3" t="s">
        <v>51</v>
      </c>
      <c r="C13" s="3" t="s">
        <v>62</v>
      </c>
      <c r="D13" s="78" t="s">
        <v>63</v>
      </c>
      <c r="E13" s="78"/>
      <c r="F13" s="3" t="s">
        <v>57</v>
      </c>
      <c r="G13" s="24">
        <v>10</v>
      </c>
      <c r="H13" s="25">
        <v>0</v>
      </c>
    </row>
    <row r="14" spans="1:8" ht="14.4" x14ac:dyDescent="0.3">
      <c r="A14" s="47" t="s">
        <v>51</v>
      </c>
      <c r="B14" s="28" t="s">
        <v>51</v>
      </c>
      <c r="C14" s="28" t="s">
        <v>64</v>
      </c>
      <c r="D14" s="102" t="s">
        <v>65</v>
      </c>
      <c r="E14" s="102"/>
      <c r="F14" s="28" t="s">
        <v>51</v>
      </c>
      <c r="G14" s="9" t="s">
        <v>51</v>
      </c>
      <c r="H14" s="48" t="s">
        <v>51</v>
      </c>
    </row>
    <row r="15" spans="1:8" ht="14.4" x14ac:dyDescent="0.3">
      <c r="A15" s="2" t="s">
        <v>66</v>
      </c>
      <c r="B15" s="3" t="s">
        <v>51</v>
      </c>
      <c r="C15" s="3" t="s">
        <v>67</v>
      </c>
      <c r="D15" s="78" t="s">
        <v>68</v>
      </c>
      <c r="E15" s="78"/>
      <c r="F15" s="3" t="s">
        <v>57</v>
      </c>
      <c r="G15" s="24">
        <v>30</v>
      </c>
      <c r="H15" s="25">
        <v>0</v>
      </c>
    </row>
    <row r="16" spans="1:8" ht="14.4" x14ac:dyDescent="0.3">
      <c r="A16" s="2" t="s">
        <v>72</v>
      </c>
      <c r="B16" s="3" t="s">
        <v>51</v>
      </c>
      <c r="C16" s="3" t="s">
        <v>73</v>
      </c>
      <c r="D16" s="78" t="s">
        <v>74</v>
      </c>
      <c r="E16" s="78"/>
      <c r="F16" s="3" t="s">
        <v>75</v>
      </c>
      <c r="G16" s="24">
        <v>104</v>
      </c>
      <c r="H16" s="25">
        <v>0</v>
      </c>
    </row>
    <row r="17" spans="1:8" ht="14.4" x14ac:dyDescent="0.3">
      <c r="A17" s="2" t="s">
        <v>76</v>
      </c>
      <c r="B17" s="3" t="s">
        <v>51</v>
      </c>
      <c r="C17" s="3" t="s">
        <v>77</v>
      </c>
      <c r="D17" s="78" t="s">
        <v>78</v>
      </c>
      <c r="E17" s="78"/>
      <c r="F17" s="3" t="s">
        <v>75</v>
      </c>
      <c r="G17" s="24">
        <v>22</v>
      </c>
      <c r="H17" s="25">
        <v>0</v>
      </c>
    </row>
    <row r="18" spans="1:8" ht="14.4" x14ac:dyDescent="0.3">
      <c r="A18" s="2" t="s">
        <v>79</v>
      </c>
      <c r="B18" s="3" t="s">
        <v>51</v>
      </c>
      <c r="C18" s="3" t="s">
        <v>80</v>
      </c>
      <c r="D18" s="78" t="s">
        <v>81</v>
      </c>
      <c r="E18" s="78"/>
      <c r="F18" s="3" t="s">
        <v>75</v>
      </c>
      <c r="G18" s="24">
        <v>2</v>
      </c>
      <c r="H18" s="25">
        <v>0</v>
      </c>
    </row>
    <row r="19" spans="1:8" ht="14.4" x14ac:dyDescent="0.3">
      <c r="A19" s="2" t="s">
        <v>69</v>
      </c>
      <c r="B19" s="3" t="s">
        <v>51</v>
      </c>
      <c r="C19" s="3" t="s">
        <v>82</v>
      </c>
      <c r="D19" s="78" t="s">
        <v>83</v>
      </c>
      <c r="E19" s="78"/>
      <c r="F19" s="3" t="s">
        <v>75</v>
      </c>
      <c r="G19" s="24">
        <v>17</v>
      </c>
      <c r="H19" s="25">
        <v>0</v>
      </c>
    </row>
    <row r="20" spans="1:8" ht="14.4" x14ac:dyDescent="0.3">
      <c r="A20" s="2" t="s">
        <v>84</v>
      </c>
      <c r="B20" s="3" t="s">
        <v>51</v>
      </c>
      <c r="C20" s="3" t="s">
        <v>85</v>
      </c>
      <c r="D20" s="78" t="s">
        <v>86</v>
      </c>
      <c r="E20" s="78"/>
      <c r="F20" s="3" t="s">
        <v>75</v>
      </c>
      <c r="G20" s="24">
        <v>9</v>
      </c>
      <c r="H20" s="25">
        <v>0</v>
      </c>
    </row>
    <row r="21" spans="1:8" ht="14.4" x14ac:dyDescent="0.3">
      <c r="A21" s="47" t="s">
        <v>51</v>
      </c>
      <c r="B21" s="28" t="s">
        <v>51</v>
      </c>
      <c r="C21" s="28" t="s">
        <v>87</v>
      </c>
      <c r="D21" s="102" t="s">
        <v>88</v>
      </c>
      <c r="E21" s="102"/>
      <c r="F21" s="28" t="s">
        <v>51</v>
      </c>
      <c r="G21" s="9" t="s">
        <v>51</v>
      </c>
      <c r="H21" s="48" t="s">
        <v>51</v>
      </c>
    </row>
    <row r="22" spans="1:8" ht="14.4" x14ac:dyDescent="0.3">
      <c r="A22" s="2" t="s">
        <v>89</v>
      </c>
      <c r="B22" s="3" t="s">
        <v>51</v>
      </c>
      <c r="C22" s="3" t="s">
        <v>90</v>
      </c>
      <c r="D22" s="78" t="s">
        <v>91</v>
      </c>
      <c r="E22" s="78"/>
      <c r="F22" s="3" t="s">
        <v>75</v>
      </c>
      <c r="G22" s="24">
        <v>366</v>
      </c>
      <c r="H22" s="25">
        <v>0</v>
      </c>
    </row>
    <row r="23" spans="1:8" ht="14.4" x14ac:dyDescent="0.3">
      <c r="A23" s="2" t="s">
        <v>94</v>
      </c>
      <c r="B23" s="3" t="s">
        <v>51</v>
      </c>
      <c r="C23" s="3" t="s">
        <v>95</v>
      </c>
      <c r="D23" s="78" t="s">
        <v>96</v>
      </c>
      <c r="E23" s="78"/>
      <c r="F23" s="3" t="s">
        <v>75</v>
      </c>
      <c r="G23" s="24">
        <v>22</v>
      </c>
      <c r="H23" s="25">
        <v>0</v>
      </c>
    </row>
    <row r="24" spans="1:8" ht="14.4" x14ac:dyDescent="0.3">
      <c r="A24" s="2" t="s">
        <v>97</v>
      </c>
      <c r="B24" s="3" t="s">
        <v>51</v>
      </c>
      <c r="C24" s="3" t="s">
        <v>98</v>
      </c>
      <c r="D24" s="78" t="s">
        <v>99</v>
      </c>
      <c r="E24" s="78"/>
      <c r="F24" s="3" t="s">
        <v>75</v>
      </c>
      <c r="G24" s="24">
        <v>2</v>
      </c>
      <c r="H24" s="25">
        <v>0</v>
      </c>
    </row>
    <row r="25" spans="1:8" ht="14.4" x14ac:dyDescent="0.3">
      <c r="A25" s="2" t="s">
        <v>100</v>
      </c>
      <c r="B25" s="3" t="s">
        <v>51</v>
      </c>
      <c r="C25" s="3" t="s">
        <v>101</v>
      </c>
      <c r="D25" s="78" t="s">
        <v>102</v>
      </c>
      <c r="E25" s="78"/>
      <c r="F25" s="3" t="s">
        <v>75</v>
      </c>
      <c r="G25" s="24">
        <v>17</v>
      </c>
      <c r="H25" s="25">
        <v>0</v>
      </c>
    </row>
    <row r="26" spans="1:8" ht="14.4" x14ac:dyDescent="0.3">
      <c r="A26" s="2" t="s">
        <v>103</v>
      </c>
      <c r="B26" s="3" t="s">
        <v>51</v>
      </c>
      <c r="C26" s="3" t="s">
        <v>104</v>
      </c>
      <c r="D26" s="78" t="s">
        <v>105</v>
      </c>
      <c r="E26" s="78"/>
      <c r="F26" s="3" t="s">
        <v>75</v>
      </c>
      <c r="G26" s="24">
        <v>9</v>
      </c>
      <c r="H26" s="25">
        <v>0</v>
      </c>
    </row>
    <row r="27" spans="1:8" ht="14.4" x14ac:dyDescent="0.3">
      <c r="A27" s="2" t="s">
        <v>106</v>
      </c>
      <c r="B27" s="3" t="s">
        <v>51</v>
      </c>
      <c r="C27" s="3" t="s">
        <v>107</v>
      </c>
      <c r="D27" s="78" t="s">
        <v>108</v>
      </c>
      <c r="E27" s="78"/>
      <c r="F27" s="3" t="s">
        <v>57</v>
      </c>
      <c r="G27" s="24">
        <v>60</v>
      </c>
      <c r="H27" s="25">
        <v>0</v>
      </c>
    </row>
    <row r="28" spans="1:8" ht="14.4" x14ac:dyDescent="0.3">
      <c r="A28" s="2" t="s">
        <v>109</v>
      </c>
      <c r="B28" s="3" t="s">
        <v>51</v>
      </c>
      <c r="C28" s="3" t="s">
        <v>110</v>
      </c>
      <c r="D28" s="78" t="s">
        <v>111</v>
      </c>
      <c r="E28" s="78"/>
      <c r="F28" s="3" t="s">
        <v>75</v>
      </c>
      <c r="G28" s="24">
        <v>416</v>
      </c>
      <c r="H28" s="25">
        <v>0</v>
      </c>
    </row>
    <row r="29" spans="1:8" ht="14.4" x14ac:dyDescent="0.3">
      <c r="A29" s="47" t="s">
        <v>51</v>
      </c>
      <c r="B29" s="28" t="s">
        <v>51</v>
      </c>
      <c r="C29" s="28" t="s">
        <v>112</v>
      </c>
      <c r="D29" s="102" t="s">
        <v>113</v>
      </c>
      <c r="E29" s="102"/>
      <c r="F29" s="28" t="s">
        <v>51</v>
      </c>
      <c r="G29" s="9" t="s">
        <v>51</v>
      </c>
      <c r="H29" s="48" t="s">
        <v>51</v>
      </c>
    </row>
    <row r="30" spans="1:8" ht="14.4" x14ac:dyDescent="0.3">
      <c r="A30" s="2" t="s">
        <v>114</v>
      </c>
      <c r="B30" s="3" t="s">
        <v>51</v>
      </c>
      <c r="C30" s="3" t="s">
        <v>115</v>
      </c>
      <c r="D30" s="78" t="s">
        <v>116</v>
      </c>
      <c r="E30" s="78"/>
      <c r="F30" s="3" t="s">
        <v>57</v>
      </c>
      <c r="G30" s="24">
        <v>6</v>
      </c>
      <c r="H30" s="25">
        <v>0</v>
      </c>
    </row>
    <row r="31" spans="1:8" ht="14.4" x14ac:dyDescent="0.3">
      <c r="A31" s="2" t="s">
        <v>118</v>
      </c>
      <c r="B31" s="3" t="s">
        <v>51</v>
      </c>
      <c r="C31" s="3" t="s">
        <v>119</v>
      </c>
      <c r="D31" s="78" t="s">
        <v>120</v>
      </c>
      <c r="E31" s="78"/>
      <c r="F31" s="3" t="s">
        <v>57</v>
      </c>
      <c r="G31" s="24">
        <v>24</v>
      </c>
      <c r="H31" s="25">
        <v>0</v>
      </c>
    </row>
    <row r="32" spans="1:8" ht="14.4" x14ac:dyDescent="0.3">
      <c r="A32" s="2" t="s">
        <v>121</v>
      </c>
      <c r="B32" s="3" t="s">
        <v>51</v>
      </c>
      <c r="C32" s="3" t="s">
        <v>122</v>
      </c>
      <c r="D32" s="78" t="s">
        <v>123</v>
      </c>
      <c r="E32" s="78"/>
      <c r="F32" s="3" t="s">
        <v>57</v>
      </c>
      <c r="G32" s="24">
        <v>60</v>
      </c>
      <c r="H32" s="25">
        <v>0</v>
      </c>
    </row>
    <row r="33" spans="1:8" ht="14.4" x14ac:dyDescent="0.3">
      <c r="A33" s="2" t="s">
        <v>124</v>
      </c>
      <c r="B33" s="3" t="s">
        <v>51</v>
      </c>
      <c r="C33" s="3" t="s">
        <v>125</v>
      </c>
      <c r="D33" s="78" t="s">
        <v>126</v>
      </c>
      <c r="E33" s="78"/>
      <c r="F33" s="3" t="s">
        <v>57</v>
      </c>
      <c r="G33" s="24">
        <v>20</v>
      </c>
      <c r="H33" s="25">
        <v>0</v>
      </c>
    </row>
    <row r="34" spans="1:8" ht="14.4" x14ac:dyDescent="0.3">
      <c r="A34" s="2" t="s">
        <v>127</v>
      </c>
      <c r="B34" s="3" t="s">
        <v>51</v>
      </c>
      <c r="C34" s="3" t="s">
        <v>128</v>
      </c>
      <c r="D34" s="78" t="s">
        <v>129</v>
      </c>
      <c r="E34" s="78"/>
      <c r="F34" s="3" t="s">
        <v>57</v>
      </c>
      <c r="G34" s="24">
        <v>4</v>
      </c>
      <c r="H34" s="25">
        <v>0</v>
      </c>
    </row>
    <row r="35" spans="1:8" ht="14.4" x14ac:dyDescent="0.3">
      <c r="A35" s="2" t="s">
        <v>130</v>
      </c>
      <c r="B35" s="3" t="s">
        <v>51</v>
      </c>
      <c r="C35" s="3" t="s">
        <v>131</v>
      </c>
      <c r="D35" s="78" t="s">
        <v>132</v>
      </c>
      <c r="E35" s="78"/>
      <c r="F35" s="3" t="s">
        <v>57</v>
      </c>
      <c r="G35" s="24">
        <v>2</v>
      </c>
      <c r="H35" s="25">
        <v>0</v>
      </c>
    </row>
    <row r="36" spans="1:8" ht="14.4" x14ac:dyDescent="0.3">
      <c r="A36" s="2" t="s">
        <v>133</v>
      </c>
      <c r="B36" s="3" t="s">
        <v>51</v>
      </c>
      <c r="C36" s="3" t="s">
        <v>134</v>
      </c>
      <c r="D36" s="78" t="s">
        <v>135</v>
      </c>
      <c r="E36" s="78"/>
      <c r="F36" s="3" t="s">
        <v>57</v>
      </c>
      <c r="G36" s="24">
        <v>30</v>
      </c>
      <c r="H36" s="25">
        <v>0</v>
      </c>
    </row>
    <row r="37" spans="1:8" ht="14.4" x14ac:dyDescent="0.3">
      <c r="A37" s="2" t="s">
        <v>136</v>
      </c>
      <c r="B37" s="3" t="s">
        <v>51</v>
      </c>
      <c r="C37" s="3" t="s">
        <v>137</v>
      </c>
      <c r="D37" s="78" t="s">
        <v>138</v>
      </c>
      <c r="E37" s="78"/>
      <c r="F37" s="3" t="s">
        <v>57</v>
      </c>
      <c r="G37" s="24">
        <v>6</v>
      </c>
      <c r="H37" s="25">
        <v>0</v>
      </c>
    </row>
    <row r="38" spans="1:8" ht="14.4" x14ac:dyDescent="0.3">
      <c r="A38" s="2" t="s">
        <v>51</v>
      </c>
      <c r="B38" s="3" t="s">
        <v>51</v>
      </c>
      <c r="C38" s="3" t="s">
        <v>51</v>
      </c>
      <c r="D38" s="49" t="s">
        <v>139</v>
      </c>
      <c r="E38" s="108" t="s">
        <v>51</v>
      </c>
      <c r="F38" s="108"/>
      <c r="G38" s="50">
        <v>0</v>
      </c>
      <c r="H38" s="51" t="s">
        <v>51</v>
      </c>
    </row>
    <row r="39" spans="1:8" ht="14.4" x14ac:dyDescent="0.3">
      <c r="A39" s="2" t="s">
        <v>140</v>
      </c>
      <c r="B39" s="3" t="s">
        <v>51</v>
      </c>
      <c r="C39" s="3" t="s">
        <v>141</v>
      </c>
      <c r="D39" s="78" t="s">
        <v>142</v>
      </c>
      <c r="E39" s="78"/>
      <c r="F39" s="3" t="s">
        <v>57</v>
      </c>
      <c r="G39" s="24">
        <v>30</v>
      </c>
      <c r="H39" s="25">
        <v>0</v>
      </c>
    </row>
    <row r="40" spans="1:8" ht="14.4" x14ac:dyDescent="0.3">
      <c r="A40" s="47" t="s">
        <v>51</v>
      </c>
      <c r="B40" s="28" t="s">
        <v>51</v>
      </c>
      <c r="C40" s="28" t="s">
        <v>143</v>
      </c>
      <c r="D40" s="102" t="s">
        <v>144</v>
      </c>
      <c r="E40" s="102"/>
      <c r="F40" s="28" t="s">
        <v>51</v>
      </c>
      <c r="G40" s="9" t="s">
        <v>51</v>
      </c>
      <c r="H40" s="48" t="s">
        <v>51</v>
      </c>
    </row>
    <row r="41" spans="1:8" ht="14.4" x14ac:dyDescent="0.3">
      <c r="A41" s="2" t="s">
        <v>145</v>
      </c>
      <c r="B41" s="3" t="s">
        <v>51</v>
      </c>
      <c r="C41" s="3" t="s">
        <v>146</v>
      </c>
      <c r="D41" s="78" t="s">
        <v>147</v>
      </c>
      <c r="E41" s="78"/>
      <c r="F41" s="3" t="s">
        <v>57</v>
      </c>
      <c r="G41" s="24">
        <v>6</v>
      </c>
      <c r="H41" s="25">
        <v>0</v>
      </c>
    </row>
    <row r="42" spans="1:8" ht="14.4" x14ac:dyDescent="0.3">
      <c r="A42" s="2" t="s">
        <v>149</v>
      </c>
      <c r="B42" s="3" t="s">
        <v>51</v>
      </c>
      <c r="C42" s="3" t="s">
        <v>150</v>
      </c>
      <c r="D42" s="78" t="s">
        <v>151</v>
      </c>
      <c r="E42" s="78"/>
      <c r="F42" s="3" t="s">
        <v>57</v>
      </c>
      <c r="G42" s="24">
        <v>18</v>
      </c>
      <c r="H42" s="25">
        <v>0</v>
      </c>
    </row>
    <row r="43" spans="1:8" ht="14.4" x14ac:dyDescent="0.3">
      <c r="A43" s="2" t="s">
        <v>152</v>
      </c>
      <c r="B43" s="3" t="s">
        <v>51</v>
      </c>
      <c r="C43" s="3" t="s">
        <v>153</v>
      </c>
      <c r="D43" s="78" t="s">
        <v>154</v>
      </c>
      <c r="E43" s="78"/>
      <c r="F43" s="3" t="s">
        <v>57</v>
      </c>
      <c r="G43" s="24">
        <v>30</v>
      </c>
      <c r="H43" s="25">
        <v>0</v>
      </c>
    </row>
    <row r="44" spans="1:8" ht="14.4" x14ac:dyDescent="0.3">
      <c r="A44" s="2" t="s">
        <v>155</v>
      </c>
      <c r="B44" s="3" t="s">
        <v>51</v>
      </c>
      <c r="C44" s="3" t="s">
        <v>156</v>
      </c>
      <c r="D44" s="78" t="s">
        <v>157</v>
      </c>
      <c r="E44" s="78"/>
      <c r="F44" s="3" t="s">
        <v>158</v>
      </c>
      <c r="G44" s="24">
        <v>90</v>
      </c>
      <c r="H44" s="25">
        <v>0</v>
      </c>
    </row>
    <row r="45" spans="1:8" ht="14.4" x14ac:dyDescent="0.3">
      <c r="A45" s="2" t="s">
        <v>159</v>
      </c>
      <c r="B45" s="3" t="s">
        <v>51</v>
      </c>
      <c r="C45" s="3" t="s">
        <v>160</v>
      </c>
      <c r="D45" s="78" t="s">
        <v>161</v>
      </c>
      <c r="E45" s="78"/>
      <c r="F45" s="3" t="s">
        <v>57</v>
      </c>
      <c r="G45" s="24">
        <v>2</v>
      </c>
      <c r="H45" s="25">
        <v>0</v>
      </c>
    </row>
    <row r="46" spans="1:8" ht="14.4" x14ac:dyDescent="0.3">
      <c r="A46" s="2" t="s">
        <v>162</v>
      </c>
      <c r="B46" s="3" t="s">
        <v>51</v>
      </c>
      <c r="C46" s="3" t="s">
        <v>163</v>
      </c>
      <c r="D46" s="78" t="s">
        <v>164</v>
      </c>
      <c r="E46" s="78"/>
      <c r="F46" s="3" t="s">
        <v>57</v>
      </c>
      <c r="G46" s="24">
        <v>4</v>
      </c>
      <c r="H46" s="25">
        <v>0</v>
      </c>
    </row>
    <row r="47" spans="1:8" ht="14.4" x14ac:dyDescent="0.3">
      <c r="A47" s="2" t="s">
        <v>165</v>
      </c>
      <c r="B47" s="3" t="s">
        <v>51</v>
      </c>
      <c r="C47" s="3" t="s">
        <v>166</v>
      </c>
      <c r="D47" s="78" t="s">
        <v>167</v>
      </c>
      <c r="E47" s="78"/>
      <c r="F47" s="3" t="s">
        <v>57</v>
      </c>
      <c r="G47" s="24">
        <v>2</v>
      </c>
      <c r="H47" s="25">
        <v>0</v>
      </c>
    </row>
    <row r="48" spans="1:8" ht="14.4" x14ac:dyDescent="0.3">
      <c r="A48" s="2" t="s">
        <v>168</v>
      </c>
      <c r="B48" s="3" t="s">
        <v>51</v>
      </c>
      <c r="C48" s="3" t="s">
        <v>169</v>
      </c>
      <c r="D48" s="78" t="s">
        <v>170</v>
      </c>
      <c r="E48" s="78"/>
      <c r="F48" s="3" t="s">
        <v>57</v>
      </c>
      <c r="G48" s="24">
        <v>6</v>
      </c>
      <c r="H48" s="25">
        <v>0</v>
      </c>
    </row>
    <row r="49" spans="1:8" ht="14.4" x14ac:dyDescent="0.3">
      <c r="A49" s="2" t="s">
        <v>171</v>
      </c>
      <c r="B49" s="3" t="s">
        <v>51</v>
      </c>
      <c r="C49" s="3" t="s">
        <v>172</v>
      </c>
      <c r="D49" s="78" t="s">
        <v>173</v>
      </c>
      <c r="E49" s="78"/>
      <c r="F49" s="3" t="s">
        <v>57</v>
      </c>
      <c r="G49" s="24">
        <v>4</v>
      </c>
      <c r="H49" s="25">
        <v>0</v>
      </c>
    </row>
    <row r="50" spans="1:8" ht="14.4" x14ac:dyDescent="0.3">
      <c r="A50" s="2" t="s">
        <v>174</v>
      </c>
      <c r="B50" s="3" t="s">
        <v>51</v>
      </c>
      <c r="C50" s="3" t="s">
        <v>175</v>
      </c>
      <c r="D50" s="78" t="s">
        <v>176</v>
      </c>
      <c r="E50" s="78"/>
      <c r="F50" s="3" t="s">
        <v>57</v>
      </c>
      <c r="G50" s="24">
        <v>4</v>
      </c>
      <c r="H50" s="25">
        <v>0</v>
      </c>
    </row>
    <row r="51" spans="1:8" ht="14.4" x14ac:dyDescent="0.3">
      <c r="A51" s="2" t="s">
        <v>177</v>
      </c>
      <c r="B51" s="3" t="s">
        <v>51</v>
      </c>
      <c r="C51" s="3" t="s">
        <v>178</v>
      </c>
      <c r="D51" s="78" t="s">
        <v>179</v>
      </c>
      <c r="E51" s="78"/>
      <c r="F51" s="3" t="s">
        <v>57</v>
      </c>
      <c r="G51" s="24">
        <v>2</v>
      </c>
      <c r="H51" s="25">
        <v>0</v>
      </c>
    </row>
    <row r="52" spans="1:8" ht="14.4" x14ac:dyDescent="0.3">
      <c r="A52" s="2" t="s">
        <v>180</v>
      </c>
      <c r="B52" s="3" t="s">
        <v>51</v>
      </c>
      <c r="C52" s="3" t="s">
        <v>181</v>
      </c>
      <c r="D52" s="78" t="s">
        <v>182</v>
      </c>
      <c r="E52" s="78"/>
      <c r="F52" s="3" t="s">
        <v>57</v>
      </c>
      <c r="G52" s="24">
        <v>4</v>
      </c>
      <c r="H52" s="25">
        <v>0</v>
      </c>
    </row>
    <row r="53" spans="1:8" ht="14.4" x14ac:dyDescent="0.3">
      <c r="A53" s="2" t="s">
        <v>183</v>
      </c>
      <c r="B53" s="3" t="s">
        <v>51</v>
      </c>
      <c r="C53" s="3" t="s">
        <v>184</v>
      </c>
      <c r="D53" s="78" t="s">
        <v>185</v>
      </c>
      <c r="E53" s="78"/>
      <c r="F53" s="3" t="s">
        <v>57</v>
      </c>
      <c r="G53" s="24">
        <v>2</v>
      </c>
      <c r="H53" s="25">
        <v>0</v>
      </c>
    </row>
    <row r="54" spans="1:8" ht="14.4" x14ac:dyDescent="0.3">
      <c r="A54" s="47" t="s">
        <v>51</v>
      </c>
      <c r="B54" s="28" t="s">
        <v>51</v>
      </c>
      <c r="C54" s="28" t="s">
        <v>186</v>
      </c>
      <c r="D54" s="102" t="s">
        <v>187</v>
      </c>
      <c r="E54" s="102"/>
      <c r="F54" s="28" t="s">
        <v>51</v>
      </c>
      <c r="G54" s="9" t="s">
        <v>51</v>
      </c>
      <c r="H54" s="48" t="s">
        <v>51</v>
      </c>
    </row>
    <row r="55" spans="1:8" ht="14.4" x14ac:dyDescent="0.3">
      <c r="A55" s="2" t="s">
        <v>188</v>
      </c>
      <c r="B55" s="3" t="s">
        <v>51</v>
      </c>
      <c r="C55" s="3" t="s">
        <v>189</v>
      </c>
      <c r="D55" s="78" t="s">
        <v>190</v>
      </c>
      <c r="E55" s="78"/>
      <c r="F55" s="3" t="s">
        <v>191</v>
      </c>
      <c r="G55" s="24">
        <v>8</v>
      </c>
      <c r="H55" s="25">
        <v>0</v>
      </c>
    </row>
    <row r="56" spans="1:8" ht="14.4" x14ac:dyDescent="0.3">
      <c r="A56" s="2" t="s">
        <v>194</v>
      </c>
      <c r="B56" s="3" t="s">
        <v>51</v>
      </c>
      <c r="C56" s="3" t="s">
        <v>189</v>
      </c>
      <c r="D56" s="78" t="s">
        <v>195</v>
      </c>
      <c r="E56" s="78"/>
      <c r="F56" s="3" t="s">
        <v>191</v>
      </c>
      <c r="G56" s="24">
        <v>24</v>
      </c>
      <c r="H56" s="25">
        <v>0</v>
      </c>
    </row>
    <row r="57" spans="1:8" ht="14.4" x14ac:dyDescent="0.3">
      <c r="A57" s="47" t="s">
        <v>51</v>
      </c>
      <c r="B57" s="28" t="s">
        <v>51</v>
      </c>
      <c r="C57" s="28" t="s">
        <v>196</v>
      </c>
      <c r="D57" s="102" t="s">
        <v>197</v>
      </c>
      <c r="E57" s="102"/>
      <c r="F57" s="28" t="s">
        <v>51</v>
      </c>
      <c r="G57" s="9" t="s">
        <v>51</v>
      </c>
      <c r="H57" s="48" t="s">
        <v>51</v>
      </c>
    </row>
    <row r="58" spans="1:8" ht="14.4" x14ac:dyDescent="0.3">
      <c r="A58" s="2" t="s">
        <v>198</v>
      </c>
      <c r="B58" s="3" t="s">
        <v>51</v>
      </c>
      <c r="C58" s="3" t="s">
        <v>199</v>
      </c>
      <c r="D58" s="78" t="s">
        <v>200</v>
      </c>
      <c r="E58" s="78"/>
      <c r="F58" s="3" t="s">
        <v>57</v>
      </c>
      <c r="G58" s="24">
        <v>4</v>
      </c>
      <c r="H58" s="25">
        <v>0</v>
      </c>
    </row>
    <row r="59" spans="1:8" ht="14.4" x14ac:dyDescent="0.3">
      <c r="A59" s="2" t="s">
        <v>202</v>
      </c>
      <c r="B59" s="3" t="s">
        <v>51</v>
      </c>
      <c r="C59" s="3" t="s">
        <v>203</v>
      </c>
      <c r="D59" s="78" t="s">
        <v>204</v>
      </c>
      <c r="E59" s="78"/>
      <c r="F59" s="3" t="s">
        <v>57</v>
      </c>
      <c r="G59" s="24">
        <v>4</v>
      </c>
      <c r="H59" s="25">
        <v>0</v>
      </c>
    </row>
    <row r="60" spans="1:8" ht="14.4" x14ac:dyDescent="0.3">
      <c r="A60" s="2" t="s">
        <v>205</v>
      </c>
      <c r="B60" s="3" t="s">
        <v>51</v>
      </c>
      <c r="C60" s="3" t="s">
        <v>206</v>
      </c>
      <c r="D60" s="78" t="s">
        <v>207</v>
      </c>
      <c r="E60" s="78"/>
      <c r="F60" s="3" t="s">
        <v>57</v>
      </c>
      <c r="G60" s="24">
        <v>20</v>
      </c>
      <c r="H60" s="25">
        <v>0</v>
      </c>
    </row>
    <row r="61" spans="1:8" ht="14.4" x14ac:dyDescent="0.3">
      <c r="A61" s="2" t="s">
        <v>208</v>
      </c>
      <c r="B61" s="3" t="s">
        <v>51</v>
      </c>
      <c r="C61" s="3" t="s">
        <v>209</v>
      </c>
      <c r="D61" s="78" t="s">
        <v>210</v>
      </c>
      <c r="E61" s="78"/>
      <c r="F61" s="3" t="s">
        <v>57</v>
      </c>
      <c r="G61" s="24">
        <v>10</v>
      </c>
      <c r="H61" s="25">
        <v>0</v>
      </c>
    </row>
    <row r="62" spans="1:8" ht="14.4" x14ac:dyDescent="0.3">
      <c r="A62" s="47" t="s">
        <v>51</v>
      </c>
      <c r="B62" s="28" t="s">
        <v>51</v>
      </c>
      <c r="C62" s="28" t="s">
        <v>211</v>
      </c>
      <c r="D62" s="102" t="s">
        <v>212</v>
      </c>
      <c r="E62" s="102"/>
      <c r="F62" s="28" t="s">
        <v>51</v>
      </c>
      <c r="G62" s="9" t="s">
        <v>51</v>
      </c>
      <c r="H62" s="48" t="s">
        <v>51</v>
      </c>
    </row>
    <row r="63" spans="1:8" ht="14.4" x14ac:dyDescent="0.3">
      <c r="A63" s="2" t="s">
        <v>213</v>
      </c>
      <c r="B63" s="3" t="s">
        <v>51</v>
      </c>
      <c r="C63" s="3" t="s">
        <v>214</v>
      </c>
      <c r="D63" s="78" t="s">
        <v>215</v>
      </c>
      <c r="E63" s="78"/>
      <c r="F63" s="3" t="s">
        <v>216</v>
      </c>
      <c r="G63" s="24">
        <v>0.18</v>
      </c>
      <c r="H63" s="25">
        <v>0</v>
      </c>
    </row>
    <row r="64" spans="1:8" ht="14.4" x14ac:dyDescent="0.3">
      <c r="A64" s="2" t="s">
        <v>218</v>
      </c>
      <c r="B64" s="3" t="s">
        <v>51</v>
      </c>
      <c r="C64" s="3" t="s">
        <v>219</v>
      </c>
      <c r="D64" s="78" t="s">
        <v>220</v>
      </c>
      <c r="E64" s="78"/>
      <c r="F64" s="3" t="s">
        <v>216</v>
      </c>
      <c r="G64" s="24">
        <v>0.06</v>
      </c>
      <c r="H64" s="25">
        <v>0</v>
      </c>
    </row>
    <row r="65" spans="1:8" ht="14.4" x14ac:dyDescent="0.3">
      <c r="A65" s="47" t="s">
        <v>51</v>
      </c>
      <c r="B65" s="28" t="s">
        <v>51</v>
      </c>
      <c r="C65" s="28" t="s">
        <v>221</v>
      </c>
      <c r="D65" s="102" t="s">
        <v>65</v>
      </c>
      <c r="E65" s="102"/>
      <c r="F65" s="28" t="s">
        <v>51</v>
      </c>
      <c r="G65" s="9" t="s">
        <v>51</v>
      </c>
      <c r="H65" s="48" t="s">
        <v>51</v>
      </c>
    </row>
    <row r="66" spans="1:8" ht="14.4" x14ac:dyDescent="0.3">
      <c r="A66" s="2" t="s">
        <v>222</v>
      </c>
      <c r="B66" s="3" t="s">
        <v>51</v>
      </c>
      <c r="C66" s="3" t="s">
        <v>223</v>
      </c>
      <c r="D66" s="78" t="s">
        <v>224</v>
      </c>
      <c r="E66" s="78"/>
      <c r="F66" s="3" t="s">
        <v>216</v>
      </c>
      <c r="G66" s="24">
        <v>0.03</v>
      </c>
      <c r="H66" s="25">
        <v>0</v>
      </c>
    </row>
    <row r="67" spans="1:8" ht="14.4" x14ac:dyDescent="0.3">
      <c r="A67" s="47" t="s">
        <v>51</v>
      </c>
      <c r="B67" s="28" t="s">
        <v>51</v>
      </c>
      <c r="C67" s="28" t="s">
        <v>226</v>
      </c>
      <c r="D67" s="102" t="s">
        <v>88</v>
      </c>
      <c r="E67" s="102"/>
      <c r="F67" s="28" t="s">
        <v>51</v>
      </c>
      <c r="G67" s="9" t="s">
        <v>51</v>
      </c>
      <c r="H67" s="48" t="s">
        <v>51</v>
      </c>
    </row>
    <row r="68" spans="1:8" ht="14.4" x14ac:dyDescent="0.3">
      <c r="A68" s="2" t="s">
        <v>227</v>
      </c>
      <c r="B68" s="3" t="s">
        <v>51</v>
      </c>
      <c r="C68" s="3" t="s">
        <v>228</v>
      </c>
      <c r="D68" s="78" t="s">
        <v>229</v>
      </c>
      <c r="E68" s="78"/>
      <c r="F68" s="3" t="s">
        <v>216</v>
      </c>
      <c r="G68" s="24">
        <v>0.3</v>
      </c>
      <c r="H68" s="25">
        <v>0</v>
      </c>
    </row>
    <row r="69" spans="1:8" ht="14.4" x14ac:dyDescent="0.3">
      <c r="A69" s="2" t="s">
        <v>231</v>
      </c>
      <c r="B69" s="3" t="s">
        <v>51</v>
      </c>
      <c r="C69" s="3" t="s">
        <v>232</v>
      </c>
      <c r="D69" s="78" t="s">
        <v>233</v>
      </c>
      <c r="E69" s="78"/>
      <c r="F69" s="3" t="s">
        <v>216</v>
      </c>
      <c r="G69" s="24">
        <v>0.05</v>
      </c>
      <c r="H69" s="25">
        <v>0</v>
      </c>
    </row>
    <row r="70" spans="1:8" ht="14.4" x14ac:dyDescent="0.3">
      <c r="A70" s="47" t="s">
        <v>51</v>
      </c>
      <c r="B70" s="28" t="s">
        <v>51</v>
      </c>
      <c r="C70" s="28" t="s">
        <v>234</v>
      </c>
      <c r="D70" s="102" t="s">
        <v>113</v>
      </c>
      <c r="E70" s="102"/>
      <c r="F70" s="28" t="s">
        <v>51</v>
      </c>
      <c r="G70" s="9" t="s">
        <v>51</v>
      </c>
      <c r="H70" s="48" t="s">
        <v>51</v>
      </c>
    </row>
    <row r="71" spans="1:8" ht="14.4" x14ac:dyDescent="0.3">
      <c r="A71" s="2" t="s">
        <v>235</v>
      </c>
      <c r="B71" s="3" t="s">
        <v>51</v>
      </c>
      <c r="C71" s="3" t="s">
        <v>236</v>
      </c>
      <c r="D71" s="78" t="s">
        <v>237</v>
      </c>
      <c r="E71" s="78"/>
      <c r="F71" s="3" t="s">
        <v>216</v>
      </c>
      <c r="G71" s="24">
        <v>0.15</v>
      </c>
      <c r="H71" s="25">
        <v>0</v>
      </c>
    </row>
    <row r="72" spans="1:8" ht="14.4" x14ac:dyDescent="0.3">
      <c r="A72" s="2" t="s">
        <v>239</v>
      </c>
      <c r="B72" s="3" t="s">
        <v>51</v>
      </c>
      <c r="C72" s="3" t="s">
        <v>240</v>
      </c>
      <c r="D72" s="78" t="s">
        <v>241</v>
      </c>
      <c r="E72" s="78"/>
      <c r="F72" s="3" t="s">
        <v>216</v>
      </c>
      <c r="G72" s="24">
        <v>0.09</v>
      </c>
      <c r="H72" s="25">
        <v>0</v>
      </c>
    </row>
    <row r="73" spans="1:8" ht="14.4" x14ac:dyDescent="0.3">
      <c r="A73" s="47" t="s">
        <v>51</v>
      </c>
      <c r="B73" s="28" t="s">
        <v>51</v>
      </c>
      <c r="C73" s="28" t="s">
        <v>242</v>
      </c>
      <c r="D73" s="102" t="s">
        <v>243</v>
      </c>
      <c r="E73" s="102"/>
      <c r="F73" s="28" t="s">
        <v>51</v>
      </c>
      <c r="G73" s="9" t="s">
        <v>51</v>
      </c>
      <c r="H73" s="48" t="s">
        <v>51</v>
      </c>
    </row>
    <row r="74" spans="1:8" ht="14.4" x14ac:dyDescent="0.3">
      <c r="A74" s="2" t="s">
        <v>244</v>
      </c>
      <c r="B74" s="3" t="s">
        <v>51</v>
      </c>
      <c r="C74" s="3" t="s">
        <v>245</v>
      </c>
      <c r="D74" s="78" t="s">
        <v>246</v>
      </c>
      <c r="E74" s="78"/>
      <c r="F74" s="3" t="s">
        <v>216</v>
      </c>
      <c r="G74" s="24">
        <v>0.4</v>
      </c>
      <c r="H74" s="25">
        <v>0</v>
      </c>
    </row>
    <row r="75" spans="1:8" ht="14.4" x14ac:dyDescent="0.3">
      <c r="A75" s="2" t="s">
        <v>248</v>
      </c>
      <c r="B75" s="3" t="s">
        <v>51</v>
      </c>
      <c r="C75" s="3" t="s">
        <v>249</v>
      </c>
      <c r="D75" s="78" t="s">
        <v>250</v>
      </c>
      <c r="E75" s="78"/>
      <c r="F75" s="3" t="s">
        <v>216</v>
      </c>
      <c r="G75" s="24">
        <v>0.18</v>
      </c>
      <c r="H75" s="25">
        <v>0</v>
      </c>
    </row>
    <row r="76" spans="1:8" ht="14.4" x14ac:dyDescent="0.3">
      <c r="A76" s="47" t="s">
        <v>51</v>
      </c>
      <c r="B76" s="28" t="s">
        <v>51</v>
      </c>
      <c r="C76" s="28" t="s">
        <v>251</v>
      </c>
      <c r="D76" s="102" t="s">
        <v>252</v>
      </c>
      <c r="E76" s="102"/>
      <c r="F76" s="28" t="s">
        <v>51</v>
      </c>
      <c r="G76" s="9" t="s">
        <v>51</v>
      </c>
      <c r="H76" s="48" t="s">
        <v>51</v>
      </c>
    </row>
    <row r="77" spans="1:8" ht="14.4" x14ac:dyDescent="0.3">
      <c r="A77" s="2" t="s">
        <v>253</v>
      </c>
      <c r="B77" s="3" t="s">
        <v>51</v>
      </c>
      <c r="C77" s="3" t="s">
        <v>254</v>
      </c>
      <c r="D77" s="78" t="s">
        <v>255</v>
      </c>
      <c r="E77" s="78"/>
      <c r="F77" s="3" t="s">
        <v>216</v>
      </c>
      <c r="G77" s="24">
        <v>1.5</v>
      </c>
      <c r="H77" s="25">
        <v>0</v>
      </c>
    </row>
    <row r="78" spans="1:8" ht="14.4" x14ac:dyDescent="0.3">
      <c r="A78" s="35" t="s">
        <v>257</v>
      </c>
      <c r="B78" s="36" t="s">
        <v>51</v>
      </c>
      <c r="C78" s="36" t="s">
        <v>258</v>
      </c>
      <c r="D78" s="104" t="s">
        <v>259</v>
      </c>
      <c r="E78" s="104"/>
      <c r="F78" s="36" t="s">
        <v>216</v>
      </c>
      <c r="G78" s="37">
        <v>3</v>
      </c>
      <c r="H78" s="38">
        <v>0</v>
      </c>
    </row>
    <row r="80" spans="1:8" ht="14.4" x14ac:dyDescent="0.3">
      <c r="A80" s="40" t="s">
        <v>261</v>
      </c>
    </row>
    <row r="81" spans="1:7" ht="13.5" customHeight="1" x14ac:dyDescent="0.3">
      <c r="A81" s="83" t="s">
        <v>262</v>
      </c>
      <c r="B81" s="78"/>
      <c r="C81" s="78"/>
      <c r="D81" s="78"/>
      <c r="E81" s="78"/>
      <c r="F81" s="78"/>
      <c r="G81" s="78"/>
    </row>
  </sheetData>
  <mergeCells count="87">
    <mergeCell ref="A81:G81"/>
    <mergeCell ref="D74:E74"/>
    <mergeCell ref="D75:E75"/>
    <mergeCell ref="D76:E76"/>
    <mergeCell ref="D77:E77"/>
    <mergeCell ref="D78:E78"/>
    <mergeCell ref="D69:E69"/>
    <mergeCell ref="D70:E70"/>
    <mergeCell ref="D71:E71"/>
    <mergeCell ref="D72:E72"/>
    <mergeCell ref="D73:E73"/>
    <mergeCell ref="D64:E64"/>
    <mergeCell ref="D65:E65"/>
    <mergeCell ref="D66:E66"/>
    <mergeCell ref="D67:E67"/>
    <mergeCell ref="D68:E68"/>
    <mergeCell ref="D59:E59"/>
    <mergeCell ref="D60:E60"/>
    <mergeCell ref="D61:E61"/>
    <mergeCell ref="D62:E62"/>
    <mergeCell ref="D63:E63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34:E34"/>
    <mergeCell ref="D35:E35"/>
    <mergeCell ref="D36:E36"/>
    <mergeCell ref="D37:E37"/>
    <mergeCell ref="E38:F38"/>
    <mergeCell ref="D29:E29"/>
    <mergeCell ref="D30:E30"/>
    <mergeCell ref="D31:E31"/>
    <mergeCell ref="D32:E32"/>
    <mergeCell ref="D33:E33"/>
    <mergeCell ref="D24:E24"/>
    <mergeCell ref="D25:E25"/>
    <mergeCell ref="D26:E26"/>
    <mergeCell ref="D27:E27"/>
    <mergeCell ref="D28:E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F8:H9"/>
    <mergeCell ref="D10:E10"/>
    <mergeCell ref="D11:E11"/>
    <mergeCell ref="D12:E12"/>
    <mergeCell ref="D13:E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sqref="A1:I1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9" ht="54.75" customHeight="1" x14ac:dyDescent="0.3">
      <c r="A1" s="109" t="s">
        <v>312</v>
      </c>
      <c r="B1" s="74"/>
      <c r="C1" s="74"/>
      <c r="D1" s="74"/>
      <c r="E1" s="74"/>
      <c r="F1" s="74"/>
      <c r="G1" s="74"/>
      <c r="H1" s="74"/>
      <c r="I1" s="74"/>
    </row>
    <row r="2" spans="1:9" ht="14.4" x14ac:dyDescent="0.3">
      <c r="A2" s="75" t="s">
        <v>1</v>
      </c>
      <c r="B2" s="76"/>
      <c r="C2" s="84" t="str">
        <f>'Stavební rozpočet'!C2</f>
        <v>Stavební úpravy bytového domu - část VYTÁPĚNÍ</v>
      </c>
      <c r="D2" s="85"/>
      <c r="E2" s="82" t="s">
        <v>5</v>
      </c>
      <c r="F2" s="82" t="str">
        <f>'Stavební rozpočet'!I2</f>
        <v>Město Bohumín, Masarykova158, 735 81 Bohumín</v>
      </c>
      <c r="G2" s="76"/>
      <c r="H2" s="82" t="s">
        <v>267</v>
      </c>
      <c r="I2" s="87" t="s">
        <v>268</v>
      </c>
    </row>
    <row r="3" spans="1:9" ht="15" customHeight="1" x14ac:dyDescent="0.3">
      <c r="A3" s="77"/>
      <c r="B3" s="78"/>
      <c r="C3" s="86"/>
      <c r="D3" s="86"/>
      <c r="E3" s="78"/>
      <c r="F3" s="78"/>
      <c r="G3" s="78"/>
      <c r="H3" s="78"/>
      <c r="I3" s="88"/>
    </row>
    <row r="4" spans="1:9" ht="14.4" x14ac:dyDescent="0.3">
      <c r="A4" s="79" t="s">
        <v>7</v>
      </c>
      <c r="B4" s="78"/>
      <c r="C4" s="83" t="str">
        <f>'Stavební rozpočet'!C4</f>
        <v>Budova pro bydlení</v>
      </c>
      <c r="D4" s="78"/>
      <c r="E4" s="83" t="s">
        <v>10</v>
      </c>
      <c r="F4" s="83" t="str">
        <f>'Stavební rozpočet'!I4</f>
        <v>Ing. Stanislav Wilczek</v>
      </c>
      <c r="G4" s="78"/>
      <c r="H4" s="83" t="s">
        <v>267</v>
      </c>
      <c r="I4" s="88" t="s">
        <v>269</v>
      </c>
    </row>
    <row r="5" spans="1:9" ht="15" customHeight="1" x14ac:dyDescent="0.3">
      <c r="A5" s="77"/>
      <c r="B5" s="78"/>
      <c r="C5" s="78"/>
      <c r="D5" s="78"/>
      <c r="E5" s="78"/>
      <c r="F5" s="78"/>
      <c r="G5" s="78"/>
      <c r="H5" s="78"/>
      <c r="I5" s="88"/>
    </row>
    <row r="6" spans="1:9" ht="14.4" x14ac:dyDescent="0.3">
      <c r="A6" s="79" t="s">
        <v>12</v>
      </c>
      <c r="B6" s="78"/>
      <c r="C6" s="83" t="str">
        <f>'Stavební rozpočet'!C6</f>
        <v>Partyzánská 302, Bohumín – Pudlov</v>
      </c>
      <c r="D6" s="78"/>
      <c r="E6" s="83" t="s">
        <v>15</v>
      </c>
      <c r="F6" s="83" t="str">
        <f>'Stavební rozpočet'!I6</f>
        <v> </v>
      </c>
      <c r="G6" s="78"/>
      <c r="H6" s="83" t="s">
        <v>267</v>
      </c>
      <c r="I6" s="88" t="s">
        <v>51</v>
      </c>
    </row>
    <row r="7" spans="1:9" ht="15" customHeight="1" x14ac:dyDescent="0.3">
      <c r="A7" s="77"/>
      <c r="B7" s="78"/>
      <c r="C7" s="78"/>
      <c r="D7" s="78"/>
      <c r="E7" s="78"/>
      <c r="F7" s="78"/>
      <c r="G7" s="78"/>
      <c r="H7" s="78"/>
      <c r="I7" s="88"/>
    </row>
    <row r="8" spans="1:9" ht="14.4" x14ac:dyDescent="0.3">
      <c r="A8" s="79" t="s">
        <v>9</v>
      </c>
      <c r="B8" s="78"/>
      <c r="C8" s="83"/>
      <c r="D8" s="78"/>
      <c r="E8" s="83" t="s">
        <v>14</v>
      </c>
      <c r="F8" s="83">
        <f>'Stavební rozpočet'!G6</f>
        <v>0</v>
      </c>
      <c r="G8" s="78"/>
      <c r="H8" s="78" t="s">
        <v>270</v>
      </c>
      <c r="I8" s="111">
        <v>54</v>
      </c>
    </row>
    <row r="9" spans="1:9" ht="14.4" x14ac:dyDescent="0.3">
      <c r="A9" s="77"/>
      <c r="B9" s="78"/>
      <c r="C9" s="78"/>
      <c r="D9" s="78"/>
      <c r="E9" s="78"/>
      <c r="F9" s="78"/>
      <c r="G9" s="78"/>
      <c r="H9" s="78"/>
      <c r="I9" s="88"/>
    </row>
    <row r="10" spans="1:9" ht="14.4" x14ac:dyDescent="0.3">
      <c r="A10" s="79" t="s">
        <v>17</v>
      </c>
      <c r="B10" s="78"/>
      <c r="C10" s="83" t="str">
        <f>'Stavební rozpočet'!C8</f>
        <v xml:space="preserve"> </v>
      </c>
      <c r="D10" s="78"/>
      <c r="E10" s="83" t="s">
        <v>21</v>
      </c>
      <c r="F10" s="83" t="str">
        <f>'Stavební rozpočet'!I8</f>
        <v>Ing. Stanislav Wilczek</v>
      </c>
      <c r="G10" s="78"/>
      <c r="H10" s="78" t="s">
        <v>271</v>
      </c>
      <c r="I10" s="112" t="str">
        <f>'Stavební rozpočet'!G8</f>
        <v>16.02.2025</v>
      </c>
    </row>
    <row r="11" spans="1:9" ht="14.4" x14ac:dyDescent="0.3">
      <c r="A11" s="110"/>
      <c r="B11" s="104"/>
      <c r="C11" s="104"/>
      <c r="D11" s="104"/>
      <c r="E11" s="104"/>
      <c r="F11" s="104"/>
      <c r="G11" s="104"/>
      <c r="H11" s="104"/>
      <c r="I11" s="113"/>
    </row>
    <row r="13" spans="1:9" ht="15.6" x14ac:dyDescent="0.3">
      <c r="A13" s="147" t="s">
        <v>313</v>
      </c>
      <c r="B13" s="147"/>
      <c r="C13" s="147"/>
      <c r="D13" s="147"/>
      <c r="E13" s="147"/>
    </row>
    <row r="14" spans="1:9" ht="14.4" x14ac:dyDescent="0.3">
      <c r="A14" s="148" t="s">
        <v>314</v>
      </c>
      <c r="B14" s="149"/>
      <c r="C14" s="149"/>
      <c r="D14" s="149"/>
      <c r="E14" s="150"/>
      <c r="F14" s="66" t="s">
        <v>315</v>
      </c>
      <c r="G14" s="66" t="s">
        <v>316</v>
      </c>
      <c r="H14" s="66" t="s">
        <v>317</v>
      </c>
      <c r="I14" s="66" t="s">
        <v>315</v>
      </c>
    </row>
    <row r="15" spans="1:9" ht="14.4" x14ac:dyDescent="0.3">
      <c r="A15" s="151" t="s">
        <v>281</v>
      </c>
      <c r="B15" s="152"/>
      <c r="C15" s="152"/>
      <c r="D15" s="152"/>
      <c r="E15" s="153"/>
      <c r="F15" s="67">
        <v>0</v>
      </c>
      <c r="G15" s="68" t="s">
        <v>51</v>
      </c>
      <c r="H15" s="68" t="s">
        <v>51</v>
      </c>
      <c r="I15" s="67">
        <f>F15</f>
        <v>0</v>
      </c>
    </row>
    <row r="16" spans="1:9" ht="14.4" x14ac:dyDescent="0.3">
      <c r="A16" s="151" t="s">
        <v>283</v>
      </c>
      <c r="B16" s="152"/>
      <c r="C16" s="152"/>
      <c r="D16" s="152"/>
      <c r="E16" s="153"/>
      <c r="F16" s="67">
        <v>0</v>
      </c>
      <c r="G16" s="68" t="s">
        <v>51</v>
      </c>
      <c r="H16" s="68" t="s">
        <v>51</v>
      </c>
      <c r="I16" s="67">
        <f>F16</f>
        <v>0</v>
      </c>
    </row>
    <row r="17" spans="1:9" ht="14.4" x14ac:dyDescent="0.3">
      <c r="A17" s="154" t="s">
        <v>286</v>
      </c>
      <c r="B17" s="155"/>
      <c r="C17" s="155"/>
      <c r="D17" s="155"/>
      <c r="E17" s="156"/>
      <c r="F17" s="69">
        <v>0</v>
      </c>
      <c r="G17" s="70" t="s">
        <v>51</v>
      </c>
      <c r="H17" s="70" t="s">
        <v>51</v>
      </c>
      <c r="I17" s="69">
        <f>F17</f>
        <v>0</v>
      </c>
    </row>
    <row r="18" spans="1:9" ht="14.4" x14ac:dyDescent="0.3">
      <c r="A18" s="157" t="s">
        <v>318</v>
      </c>
      <c r="B18" s="158"/>
      <c r="C18" s="158"/>
      <c r="D18" s="158"/>
      <c r="E18" s="159"/>
      <c r="F18" s="71" t="s">
        <v>51</v>
      </c>
      <c r="G18" s="72" t="s">
        <v>51</v>
      </c>
      <c r="H18" s="72" t="s">
        <v>51</v>
      </c>
      <c r="I18" s="73">
        <f>SUM(I15:I17)</f>
        <v>0</v>
      </c>
    </row>
    <row r="20" spans="1:9" ht="14.4" x14ac:dyDescent="0.3">
      <c r="A20" s="148" t="s">
        <v>278</v>
      </c>
      <c r="B20" s="149"/>
      <c r="C20" s="149"/>
      <c r="D20" s="149"/>
      <c r="E20" s="150"/>
      <c r="F20" s="66" t="s">
        <v>315</v>
      </c>
      <c r="G20" s="66" t="s">
        <v>316</v>
      </c>
      <c r="H20" s="66" t="s">
        <v>317</v>
      </c>
      <c r="I20" s="66" t="s">
        <v>315</v>
      </c>
    </row>
    <row r="21" spans="1:9" ht="14.4" x14ac:dyDescent="0.3">
      <c r="A21" s="151" t="s">
        <v>282</v>
      </c>
      <c r="B21" s="152"/>
      <c r="C21" s="152"/>
      <c r="D21" s="152"/>
      <c r="E21" s="153"/>
      <c r="F21" s="67">
        <v>0</v>
      </c>
      <c r="G21" s="68" t="s">
        <v>51</v>
      </c>
      <c r="H21" s="68" t="s">
        <v>51</v>
      </c>
      <c r="I21" s="67">
        <f t="shared" ref="I21:I26" si="0">F21</f>
        <v>0</v>
      </c>
    </row>
    <row r="22" spans="1:9" ht="14.4" x14ac:dyDescent="0.3">
      <c r="A22" s="151" t="s">
        <v>284</v>
      </c>
      <c r="B22" s="152"/>
      <c r="C22" s="152"/>
      <c r="D22" s="152"/>
      <c r="E22" s="153"/>
      <c r="F22" s="67">
        <v>0</v>
      </c>
      <c r="G22" s="68" t="s">
        <v>51</v>
      </c>
      <c r="H22" s="68" t="s">
        <v>51</v>
      </c>
      <c r="I22" s="67">
        <f t="shared" si="0"/>
        <v>0</v>
      </c>
    </row>
    <row r="23" spans="1:9" ht="14.4" x14ac:dyDescent="0.3">
      <c r="A23" s="151" t="s">
        <v>287</v>
      </c>
      <c r="B23" s="152"/>
      <c r="C23" s="152"/>
      <c r="D23" s="152"/>
      <c r="E23" s="153"/>
      <c r="F23" s="67">
        <v>0</v>
      </c>
      <c r="G23" s="68" t="s">
        <v>51</v>
      </c>
      <c r="H23" s="68" t="s">
        <v>51</v>
      </c>
      <c r="I23" s="67">
        <f t="shared" si="0"/>
        <v>0</v>
      </c>
    </row>
    <row r="24" spans="1:9" ht="14.4" x14ac:dyDescent="0.3">
      <c r="A24" s="151" t="s">
        <v>288</v>
      </c>
      <c r="B24" s="152"/>
      <c r="C24" s="152"/>
      <c r="D24" s="152"/>
      <c r="E24" s="153"/>
      <c r="F24" s="67">
        <v>0</v>
      </c>
      <c r="G24" s="68" t="s">
        <v>51</v>
      </c>
      <c r="H24" s="68" t="s">
        <v>51</v>
      </c>
      <c r="I24" s="67">
        <f t="shared" si="0"/>
        <v>0</v>
      </c>
    </row>
    <row r="25" spans="1:9" ht="14.4" x14ac:dyDescent="0.3">
      <c r="A25" s="151" t="s">
        <v>290</v>
      </c>
      <c r="B25" s="152"/>
      <c r="C25" s="152"/>
      <c r="D25" s="152"/>
      <c r="E25" s="153"/>
      <c r="F25" s="67">
        <v>0</v>
      </c>
      <c r="G25" s="68" t="s">
        <v>51</v>
      </c>
      <c r="H25" s="68" t="s">
        <v>51</v>
      </c>
      <c r="I25" s="67">
        <f t="shared" si="0"/>
        <v>0</v>
      </c>
    </row>
    <row r="26" spans="1:9" ht="14.4" x14ac:dyDescent="0.3">
      <c r="A26" s="154" t="s">
        <v>291</v>
      </c>
      <c r="B26" s="155"/>
      <c r="C26" s="155"/>
      <c r="D26" s="155"/>
      <c r="E26" s="156"/>
      <c r="F26" s="69">
        <v>0</v>
      </c>
      <c r="G26" s="70" t="s">
        <v>51</v>
      </c>
      <c r="H26" s="70" t="s">
        <v>51</v>
      </c>
      <c r="I26" s="69">
        <f t="shared" si="0"/>
        <v>0</v>
      </c>
    </row>
    <row r="27" spans="1:9" ht="14.4" x14ac:dyDescent="0.3">
      <c r="A27" s="157" t="s">
        <v>319</v>
      </c>
      <c r="B27" s="158"/>
      <c r="C27" s="158"/>
      <c r="D27" s="158"/>
      <c r="E27" s="159"/>
      <c r="F27" s="71" t="s">
        <v>51</v>
      </c>
      <c r="G27" s="72" t="s">
        <v>51</v>
      </c>
      <c r="H27" s="72" t="s">
        <v>51</v>
      </c>
      <c r="I27" s="73">
        <f>SUM(I21:I26)</f>
        <v>0</v>
      </c>
    </row>
    <row r="29" spans="1:9" ht="15.6" x14ac:dyDescent="0.3">
      <c r="A29" s="160" t="s">
        <v>320</v>
      </c>
      <c r="B29" s="161"/>
      <c r="C29" s="161"/>
      <c r="D29" s="161"/>
      <c r="E29" s="162"/>
      <c r="F29" s="163">
        <f>I18+I27</f>
        <v>0</v>
      </c>
      <c r="G29" s="164"/>
      <c r="H29" s="164"/>
      <c r="I29" s="165"/>
    </row>
    <row r="33" spans="1:9" ht="15.6" x14ac:dyDescent="0.3">
      <c r="A33" s="147" t="s">
        <v>321</v>
      </c>
      <c r="B33" s="147"/>
      <c r="C33" s="147"/>
      <c r="D33" s="147"/>
      <c r="E33" s="147"/>
    </row>
    <row r="34" spans="1:9" ht="14.4" x14ac:dyDescent="0.3">
      <c r="A34" s="148" t="s">
        <v>322</v>
      </c>
      <c r="B34" s="149"/>
      <c r="C34" s="149"/>
      <c r="D34" s="149"/>
      <c r="E34" s="150"/>
      <c r="F34" s="66" t="s">
        <v>315</v>
      </c>
      <c r="G34" s="66" t="s">
        <v>316</v>
      </c>
      <c r="H34" s="66" t="s">
        <v>317</v>
      </c>
      <c r="I34" s="66" t="s">
        <v>315</v>
      </c>
    </row>
    <row r="35" spans="1:9" ht="14.4" x14ac:dyDescent="0.3">
      <c r="A35" s="154" t="s">
        <v>51</v>
      </c>
      <c r="B35" s="155"/>
      <c r="C35" s="155"/>
      <c r="D35" s="155"/>
      <c r="E35" s="156"/>
      <c r="F35" s="69">
        <v>0</v>
      </c>
      <c r="G35" s="70" t="s">
        <v>51</v>
      </c>
      <c r="H35" s="70" t="s">
        <v>51</v>
      </c>
      <c r="I35" s="69">
        <f>F35</f>
        <v>0</v>
      </c>
    </row>
    <row r="36" spans="1:9" ht="14.4" x14ac:dyDescent="0.3">
      <c r="A36" s="157" t="s">
        <v>323</v>
      </c>
      <c r="B36" s="158"/>
      <c r="C36" s="158"/>
      <c r="D36" s="158"/>
      <c r="E36" s="159"/>
      <c r="F36" s="71" t="s">
        <v>51</v>
      </c>
      <c r="G36" s="72" t="s">
        <v>51</v>
      </c>
      <c r="H36" s="72" t="s">
        <v>51</v>
      </c>
      <c r="I36" s="73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Stavební rozpočet</vt:lpstr>
      <vt:lpstr>Výkaz výměr</vt:lpstr>
      <vt:lpstr>VORN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Stanislav Wilczek</cp:lastModifiedBy>
  <dcterms:created xsi:type="dcterms:W3CDTF">2021-06-10T20:06:38Z</dcterms:created>
  <dcterms:modified xsi:type="dcterms:W3CDTF">2025-02-06T16:13:52Z</dcterms:modified>
</cp:coreProperties>
</file>